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9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12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drawings/drawing1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19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24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5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6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7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drawings/drawing28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omments2.xml" ContentType="application/vnd.openxmlformats-officedocument.spreadsheetml.comment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0.xml" ContentType="application/vnd.openxmlformats-officedocument.drawing+xml"/>
  <Override PartName="/xl/queryTables/queryTable34.xml" ContentType="application/vnd.openxmlformats-officedocument.spreadsheetml.queryTable+xml"/>
  <Override PartName="/xl/drawings/drawing3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drawings/drawing3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omments3.xml" ContentType="application/vnd.openxmlformats-officedocument.spreadsheetml.comments+xml"/>
  <Override PartName="/xl/queryTables/queryTable43.xml" ContentType="application/vnd.openxmlformats-officedocument.spreadsheetml.queryTable+xml"/>
  <Override PartName="/xl/tables/table1.xml" ContentType="application/vnd.openxmlformats-officedocument.spreadsheetml.table+xml"/>
  <Override PartName="/xl/queryTables/queryTable44.xml" ContentType="application/vnd.openxmlformats-officedocument.spreadsheetml.queryTable+xml"/>
  <Override PartName="/xl/drawings/drawing35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omments4.xml" ContentType="application/vnd.openxmlformats-officedocument.spreadsheetml.comment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drawings/drawing43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5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46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47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drawings/drawing48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drawings/drawing49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NVR" sheetId="106" state="hidden" r:id="rId7"/>
    <sheet name="AAPL" sheetId="55" r:id="rId8"/>
    <sheet name="AXP" sheetId="60" state="hidden" r:id="rId9"/>
    <sheet name="DG" sheetId="64" state="hidden" r:id="rId10"/>
    <sheet name="PINC" sheetId="65" state="hidden" r:id="rId11"/>
    <sheet name="FOXA" sheetId="66" state="hidden" r:id="rId12"/>
    <sheet name="AOBC" sheetId="70" state="hidden" r:id="rId13"/>
    <sheet name="LUV" sheetId="62" state="hidden" r:id="rId14"/>
    <sheet name="CCE" sheetId="73" state="hidden" r:id="rId15"/>
    <sheet name="BMY" sheetId="71" state="hidden" r:id="rId16"/>
    <sheet name="GPS" sheetId="80" state="hidden" r:id="rId17"/>
    <sheet name="AKAM" sheetId="63" state="hidden" r:id="rId18"/>
    <sheet name="ARNC" sheetId="76" r:id="rId19"/>
    <sheet name="IEMG" sheetId="105" state="hidden" r:id="rId20"/>
    <sheet name="CVS" sheetId="69" state="hidden" r:id="rId21"/>
    <sheet name="ADBE" sheetId="85" state="hidden" r:id="rId22"/>
    <sheet name="MRO" sheetId="25" r:id="rId23"/>
    <sheet name="GE" sheetId="86" state="hidden" r:id="rId24"/>
    <sheet name="XRAY" sheetId="103" state="hidden" r:id="rId25"/>
    <sheet name="XLP" sheetId="104" state="hidden" r:id="rId26"/>
    <sheet name="KR" sheetId="51" r:id="rId27"/>
    <sheet name="F" sheetId="54" r:id="rId28"/>
    <sheet name="JNJ" sheetId="68" state="hidden" r:id="rId29"/>
    <sheet name="ULTA" sheetId="81" state="hidden" r:id="rId30"/>
    <sheet name="FRC" sheetId="89" state="hidden" r:id="rId31"/>
    <sheet name="AAP" sheetId="77" state="hidden" r:id="rId32"/>
    <sheet name="CMCSA" sheetId="99" state="hidden" r:id="rId33"/>
    <sheet name="XEC" sheetId="100" state="hidden" r:id="rId34"/>
    <sheet name="MO" sheetId="102" state="hidden" r:id="rId35"/>
    <sheet name="T" sheetId="93" state="hidden" r:id="rId36"/>
    <sheet name="COST" sheetId="78" state="hidden" r:id="rId37"/>
    <sheet name="CPN" sheetId="7" state="hidden" r:id="rId38"/>
    <sheet name="EW" sheetId="72" state="hidden" r:id="rId39"/>
    <sheet name="TJX" sheetId="79" state="hidden" r:id="rId40"/>
    <sheet name="QQQ" sheetId="101" state="hidden" r:id="rId41"/>
    <sheet name="WBA" sheetId="84" r:id="rId42"/>
    <sheet name="AZO" sheetId="83" state="hidden" r:id="rId43"/>
    <sheet name="FL" sheetId="98" state="hidden" r:id="rId44"/>
    <sheet name="MLM" sheetId="97" state="hidden" r:id="rId45"/>
    <sheet name="KHC" sheetId="96" r:id="rId46"/>
    <sheet name="KBWY" sheetId="94" state="hidden" r:id="rId47"/>
    <sheet name="AYI" sheetId="92" state="hidden" r:id="rId48"/>
    <sheet name="DIA" sheetId="91" state="hidden" r:id="rId49"/>
    <sheet name="ICE" sheetId="95" state="hidden" r:id="rId50"/>
    <sheet name="NKE" sheetId="50" state="hidden" r:id="rId51"/>
    <sheet name="MOS" sheetId="58" r:id="rId52"/>
    <sheet name="VGK" sheetId="59" state="hidden" r:id="rId53"/>
    <sheet name="CMG" sheetId="87" state="hidden" r:id="rId54"/>
    <sheet name="HAS" sheetId="90" r:id="rId55"/>
    <sheet name="HSIC" sheetId="82" state="hidden" r:id="rId56"/>
    <sheet name="PDCO" sheetId="88" r:id="rId57"/>
    <sheet name="MU" sheetId="17" state="hidden" r:id="rId58"/>
    <sheet name="IP" sheetId="44" state="hidden" r:id="rId59"/>
    <sheet name="INTC" sheetId="13" state="hidden" r:id="rId60"/>
    <sheet name="HES" sheetId="10" state="hidden" r:id="rId61"/>
    <sheet name="UNP" sheetId="20" state="hidden" r:id="rId62"/>
    <sheet name="NCLH" sheetId="67" state="hidden" r:id="rId63"/>
    <sheet name="SPY" sheetId="47" state="hidden" r:id="rId64"/>
    <sheet name="SWKS" sheetId="41" state="hidden" r:id="rId65"/>
    <sheet name="CNI" sheetId="42" state="hidden" r:id="rId66"/>
    <sheet name="WFC" sheetId="45" state="hidden" r:id="rId67"/>
    <sheet name="AA" sheetId="3" state="hidden" r:id="rId68"/>
    <sheet name="CF" sheetId="61" state="hidden" r:id="rId69"/>
    <sheet name="TGT" sheetId="75" state="hidden" r:id="rId70"/>
    <sheet name="NWL" sheetId="46" state="hidden" r:id="rId71"/>
    <sheet name="KORS" sheetId="16" state="hidden" r:id="rId72"/>
    <sheet name="ALL" sheetId="22" state="hidden" r:id="rId73"/>
    <sheet name="NSC" sheetId="24" state="hidden" r:id="rId74"/>
    <sheet name="AVGO" sheetId="15" state="hidden" r:id="rId75"/>
    <sheet name="UAL" sheetId="52" state="hidden" r:id="rId76"/>
    <sheet name="CAH" sheetId="53" state="hidden" r:id="rId77"/>
    <sheet name="DAL" sheetId="49" state="hidden" r:id="rId78"/>
    <sheet name="TEVA" sheetId="74" state="hidden" r:id="rId79"/>
    <sheet name="DIS" sheetId="34" state="hidden" r:id="rId80"/>
    <sheet name="FTR" sheetId="40" state="hidden" r:id="rId81"/>
    <sheet name="GILD" sheetId="31" r:id="rId82"/>
    <sheet name="WWD" sheetId="28" state="hidden" r:id="rId83"/>
    <sheet name="GIS" sheetId="43" r:id="rId84"/>
    <sheet name="GM" sheetId="29" state="hidden" r:id="rId85"/>
    <sheet name="TMO" sheetId="48" state="hidden" r:id="rId86"/>
    <sheet name="TKR" sheetId="32" state="hidden" r:id="rId87"/>
    <sheet name="UTX" sheetId="30" state="hidden" r:id="rId88"/>
    <sheet name="UNH" sheetId="26" state="hidden" r:id="rId89"/>
  </sheets>
  <functionGroups builtInGroupCount="18"/>
  <definedNames>
    <definedName name="_xlnm._FilterDatabase" localSheetId="0" hidden="1">ACTIVE!$E$1:$M$26</definedName>
    <definedName name="hp?s_AA_Historical_Prices_1" localSheetId="67">AA!$W$1:$AC$68</definedName>
    <definedName name="hp?s_AAPL" localSheetId="7">AAPL!$W$1:$AC$69</definedName>
    <definedName name="hp?s_AKAM_Historical_Prices" localSheetId="15">BMY!$W$1:$AC$70</definedName>
    <definedName name="hp?s_ALL_Historical_Prices" localSheetId="72">ALL!$X$1:$AD$69</definedName>
    <definedName name="hp?s_AVGO" localSheetId="74">AVGO!$W$1:$AC$69</definedName>
    <definedName name="hp?s_AXP_Historical_Prices" localSheetId="8">AXP!$W$1:$AC$70</definedName>
    <definedName name="hp?s_BIIB" localSheetId="3">BIIB!#REF!</definedName>
    <definedName name="hp?s_CAH" localSheetId="76">CAH!#REF!</definedName>
    <definedName name="hp?s_cce" localSheetId="14">CCE!$W$1:$AC$68</definedName>
    <definedName name="hp?s_CNI" localSheetId="65">CNI!$W$1:$AC$69</definedName>
    <definedName name="hp?s_CPN_Historical_Prices" localSheetId="37">CPN!$W$1:$AC$68</definedName>
    <definedName name="hp?s_DIS" localSheetId="14">CCE!#REF!</definedName>
    <definedName name="hp?s_DIS" localSheetId="79">DIS!$W$1:$AC$68</definedName>
    <definedName name="hp?s_DIS" localSheetId="80">FTR!#REF!</definedName>
    <definedName name="hp?s_ew_Historical_Prices" localSheetId="38">EW!$W$1:$AC$68</definedName>
    <definedName name="hp?s_foxa" localSheetId="11">FOXA!$W$1:$AC$69</definedName>
    <definedName name="hp?s_GILD" localSheetId="81">GILD!#REF!</definedName>
    <definedName name="hp?s_GIS" localSheetId="83">GIS!#REF!</definedName>
    <definedName name="hp?s_GM" localSheetId="84">GM!$W$1:$AC$69</definedName>
    <definedName name="hp?s_HES" localSheetId="60">HES!$W$1:$AC$69</definedName>
    <definedName name="hp?s_INTC_Historical_Prices" localSheetId="59">INTC!$W$1:$AC$69</definedName>
    <definedName name="hp?s_IP" localSheetId="58">IP!$W$1:$AC$69</definedName>
    <definedName name="hp?s_KORS" localSheetId="71">KORS!$W$1:$AC$68</definedName>
    <definedName name="hp?s_MYL" localSheetId="4">MYL!$W$1:$AC$68</definedName>
    <definedName name="hp?s_nclh" localSheetId="62">NCLH!$W$1:$AC$68</definedName>
    <definedName name="hp?s_nke" localSheetId="50">NKE!$W$1:$AC$69</definedName>
    <definedName name="hp?s_NWL" localSheetId="70">NWL!#REF!</definedName>
    <definedName name="hp?s_pinc" localSheetId="10">PINC!$W$1:$AC$68</definedName>
    <definedName name="hp?s_SWKS" localSheetId="64">SWKS!$W$1:$AC$69</definedName>
    <definedName name="hp?s_TKR" localSheetId="86">TKR!$W$1:$AC$69</definedName>
    <definedName name="hp?s_tmo" localSheetId="85">TMO!$W$1:$AC$69</definedName>
    <definedName name="hp?s_ual" localSheetId="75">UAL!$W$1:$AC$68</definedName>
    <definedName name="hp?s_UNH" localSheetId="88">UNH!$W$1:$AC$69</definedName>
    <definedName name="hp?s_UTX" localSheetId="87">UTX!$W$1:$AC$69</definedName>
    <definedName name="hp?s_vgk" localSheetId="52">VGK!$W$1:$AC$69</definedName>
    <definedName name="hp?s_WFC" localSheetId="66">WFC!#REF!</definedName>
    <definedName name="hp?s_WWD" localSheetId="82">WWD!$W$1:$AC$69</definedName>
    <definedName name="PL" localSheetId="67">AA!$Q$7</definedName>
    <definedName name="PL" localSheetId="31">#REF!</definedName>
    <definedName name="PL" localSheetId="21">#REF!</definedName>
    <definedName name="PL" localSheetId="17">#REF!</definedName>
    <definedName name="PL" localSheetId="12">#REF!</definedName>
    <definedName name="PL" localSheetId="18">#REF!</definedName>
    <definedName name="PL" localSheetId="8">#REF!</definedName>
    <definedName name="PL" localSheetId="47">#REF!</definedName>
    <definedName name="PL" localSheetId="42">#REF!</definedName>
    <definedName name="PL" localSheetId="15">#REF!</definedName>
    <definedName name="PL" localSheetId="76">#REF!</definedName>
    <definedName name="PL" localSheetId="68">#REF!</definedName>
    <definedName name="PL" localSheetId="32">#REF!</definedName>
    <definedName name="PL" localSheetId="53">#REF!</definedName>
    <definedName name="PL" localSheetId="36">#REF!</definedName>
    <definedName name="PL" localSheetId="20">#REF!</definedName>
    <definedName name="PL" localSheetId="9">#REF!</definedName>
    <definedName name="PL" localSheetId="48">#REF!</definedName>
    <definedName name="PL" localSheetId="38">#REF!</definedName>
    <definedName name="PL" localSheetId="27">#REF!</definedName>
    <definedName name="PL" localSheetId="43">#REF!</definedName>
    <definedName name="PL" localSheetId="11">#REF!</definedName>
    <definedName name="PL" localSheetId="30">#REF!</definedName>
    <definedName name="PL" localSheetId="23">#REF!</definedName>
    <definedName name="PL" localSheetId="16">#REF!</definedName>
    <definedName name="PL" localSheetId="54">#REF!</definedName>
    <definedName name="PL" localSheetId="55">#REF!</definedName>
    <definedName name="PL" localSheetId="49">#REF!</definedName>
    <definedName name="PL" localSheetId="19">#REF!</definedName>
    <definedName name="PL" localSheetId="28">#REF!</definedName>
    <definedName name="PL" localSheetId="46">#REF!</definedName>
    <definedName name="PL" localSheetId="45">#REF!</definedName>
    <definedName name="PL" localSheetId="26">#REF!</definedName>
    <definedName name="PL" localSheetId="13">#REF!</definedName>
    <definedName name="PL" localSheetId="44">#REF!</definedName>
    <definedName name="PL" localSheetId="34">#REF!</definedName>
    <definedName name="PL" localSheetId="51">#REF!</definedName>
    <definedName name="PL" localSheetId="4">#REF!</definedName>
    <definedName name="PL" localSheetId="62">NCLH!$Q$7</definedName>
    <definedName name="PL" localSheetId="50">#REF!</definedName>
    <definedName name="PL" localSheetId="6">#REF!</definedName>
    <definedName name="PL" localSheetId="56">#REF!</definedName>
    <definedName name="PL" localSheetId="10">PINC!$Q$7</definedName>
    <definedName name="PL" localSheetId="40">#REF!</definedName>
    <definedName name="PL" localSheetId="63">SPY!$Q$7</definedName>
    <definedName name="PL" localSheetId="64">SWKS!$Q$7</definedName>
    <definedName name="PL" localSheetId="35">#REF!</definedName>
    <definedName name="PL" localSheetId="69">#REF!</definedName>
    <definedName name="PL" localSheetId="39">#REF!</definedName>
    <definedName name="PL" localSheetId="75">#REF!</definedName>
    <definedName name="PL" localSheetId="29">#REF!</definedName>
    <definedName name="PL" localSheetId="52">#REF!</definedName>
    <definedName name="PL" localSheetId="41">#REF!</definedName>
    <definedName name="PL" localSheetId="66">WFC!$Q$7</definedName>
    <definedName name="PL" localSheetId="33">#REF!</definedName>
    <definedName name="PL" localSheetId="25">#REF!</definedName>
    <definedName name="PL" localSheetId="24">#REF!</definedName>
    <definedName name="q?s_aa_ql_1" localSheetId="67">AA!$T$40:$U$55</definedName>
    <definedName name="q?s_AAPL" localSheetId="7">AAPL!$T$40:$U$55</definedName>
    <definedName name="q?s_AKAM" localSheetId="17">AKAM!$T$43:$U$58</definedName>
    <definedName name="q?s_ALL" localSheetId="72">ALL!$T$40:$U$55</definedName>
    <definedName name="q?s_AVGO" localSheetId="74">AVGO!$T$42:$U$57</definedName>
    <definedName name="q?s_AXP" localSheetId="8">AXP!$T$43:$U$58</definedName>
    <definedName name="q?s_BMY_1" localSheetId="15">BMY!$T$43:$U$58</definedName>
    <definedName name="q?s_cce" localSheetId="14">CCE!$T$43:$U$58</definedName>
    <definedName name="q?s_CF" localSheetId="68">CF!$T$56:$U$71</definedName>
    <definedName name="q?s_CNI" localSheetId="65">CNI!$T$43:$U$58</definedName>
    <definedName name="q?s_CPN" localSheetId="37">CPN!$T$43:$U$58</definedName>
    <definedName name="q?s_cvs" localSheetId="20">CVS!$T$43:$U$58</definedName>
    <definedName name="q?s_dg" localSheetId="9">DG!$T$43:$U$58</definedName>
    <definedName name="q?s_DIS" localSheetId="79">DIS!$T$43:$U$58</definedName>
    <definedName name="q?s_ew" localSheetId="38">EW!$T$43:$U$58</definedName>
    <definedName name="q?s_F" localSheetId="27">F!$T$43:$U$58</definedName>
    <definedName name="q?s_foxa" localSheetId="11">FOXA!$T$43:$U$58</definedName>
    <definedName name="q?s_FTR" localSheetId="80">FTR!$T$43:$U$58</definedName>
    <definedName name="q?s_GILD" localSheetId="81">GILD!$T$43:$U$58</definedName>
    <definedName name="q?s_GM" localSheetId="84">GM!$T$43:$U$58</definedName>
    <definedName name="q?s_HES" localSheetId="60">HES!$T$43:$U$58</definedName>
    <definedName name="q?s_INTC" localSheetId="59">INTC!$T$43:$U$58</definedName>
    <definedName name="q?s_IP" localSheetId="58">IP!$T$43:$U$58</definedName>
    <definedName name="q?s_JNJ" localSheetId="28">JNJ!$T$43:$U$58</definedName>
    <definedName name="q?s_KORS" localSheetId="71">KORS!$T$43:$U$58</definedName>
    <definedName name="q?s_MU" localSheetId="57">MU!#REF!</definedName>
    <definedName name="q?s_MYL" localSheetId="4">MYL!$T$43:$U$58</definedName>
    <definedName name="q?s_nclh" localSheetId="62">NCLH!$T$40:$U$55</definedName>
    <definedName name="q?s_NKE" localSheetId="50">NKE!$T$43:$U$58</definedName>
    <definedName name="q?s_NSC" localSheetId="61">UNP!$T$43:$U$58</definedName>
    <definedName name="q?s_pinc" localSheetId="10">PINC!$T$40:$U$55</definedName>
    <definedName name="q?s_SIG" localSheetId="5">SIG!#REF!</definedName>
    <definedName name="q?s_SWKS" localSheetId="64">SWKS!$T$40:$U$55</definedName>
    <definedName name="q?s_tgt" localSheetId="69">TGT!$T$43:$U$58</definedName>
    <definedName name="q?s_TKR" localSheetId="86">TKR!$T$43:$U$58</definedName>
    <definedName name="q?s_tmo" localSheetId="85">TMO!$T$43:$U$58</definedName>
    <definedName name="q?s_UAL" localSheetId="75">UAL!$T$43:$U$58</definedName>
    <definedName name="q?s_UNH" localSheetId="88">UNH!$T$43:$U$58</definedName>
    <definedName name="q?s_UTX" localSheetId="87">UTX!$T$43:$U$58</definedName>
    <definedName name="q?s_vgk" localSheetId="52">VGK!$T$43:$U$56</definedName>
    <definedName name="q?s_WWD" localSheetId="82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8" i="93" l="1"/>
  <c r="H18" i="93"/>
  <c r="F18" i="93"/>
  <c r="C18" i="93"/>
  <c r="F40" i="93" l="1"/>
  <c r="H40" i="93"/>
  <c r="G40" i="93"/>
  <c r="A698" i="38"/>
  <c r="D698" i="38"/>
  <c r="E698" i="38"/>
  <c r="G698" i="38"/>
  <c r="H698" i="38"/>
  <c r="K698" i="38"/>
  <c r="L698" i="38" s="1"/>
  <c r="M698" i="38"/>
  <c r="N698" i="38" s="1"/>
  <c r="S698" i="38"/>
  <c r="F252" i="25"/>
  <c r="G252" i="25"/>
  <c r="H252" i="25"/>
  <c r="C32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51" i="25"/>
  <c r="G251" i="25"/>
  <c r="H251" i="25"/>
  <c r="F78" i="81"/>
  <c r="G78" i="81"/>
  <c r="H78" i="81"/>
  <c r="F22" i="81"/>
  <c r="F64" i="88"/>
  <c r="H64" i="88"/>
  <c r="G64" i="88"/>
  <c r="F17" i="88"/>
  <c r="F37" i="96"/>
  <c r="G37" i="96"/>
  <c r="H37" i="96"/>
  <c r="K3" i="96"/>
  <c r="F77" i="81"/>
  <c r="G77" i="81"/>
  <c r="H77" i="81"/>
  <c r="K16" i="81"/>
  <c r="G74" i="46"/>
  <c r="F74" i="46"/>
  <c r="H74" i="46"/>
  <c r="K14" i="46"/>
  <c r="F43" i="99"/>
  <c r="H43" i="99"/>
  <c r="G43" i="99"/>
  <c r="K6" i="99"/>
  <c r="H24" i="88"/>
  <c r="A696" i="38"/>
  <c r="D696" i="38"/>
  <c r="E696" i="38"/>
  <c r="G696" i="38"/>
  <c r="H696" i="38"/>
  <c r="K696" i="38"/>
  <c r="L696" i="38" s="1"/>
  <c r="P696" i="38" s="1"/>
  <c r="M696" i="38"/>
  <c r="N696" i="38" s="1"/>
  <c r="S696" i="38"/>
  <c r="H18" i="99"/>
  <c r="F73" i="46"/>
  <c r="H73" i="46"/>
  <c r="G73" i="46"/>
  <c r="F21" i="46"/>
  <c r="F39" i="93"/>
  <c r="H39" i="93"/>
  <c r="G39" i="93"/>
  <c r="F10" i="93"/>
  <c r="G108" i="58"/>
  <c r="F108" i="58"/>
  <c r="H108" i="58"/>
  <c r="F29" i="58"/>
  <c r="F42" i="99"/>
  <c r="H42" i="99"/>
  <c r="G42" i="99"/>
  <c r="F7" i="99"/>
  <c r="F63" i="88"/>
  <c r="H63" i="88"/>
  <c r="G63" i="88"/>
  <c r="F38" i="93"/>
  <c r="H38" i="93"/>
  <c r="G38" i="93"/>
  <c r="F37" i="93"/>
  <c r="H37" i="93"/>
  <c r="G37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6" i="96"/>
  <c r="G36" i="96"/>
  <c r="F36" i="96"/>
  <c r="F5" i="96"/>
  <c r="F250" i="25"/>
  <c r="H250" i="25"/>
  <c r="G250" i="25"/>
  <c r="K71" i="25"/>
  <c r="F107" i="58"/>
  <c r="H107" i="58"/>
  <c r="G107" i="58"/>
  <c r="K24" i="58"/>
  <c r="P697" i="38" l="1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G41" i="90"/>
  <c r="H41" i="90"/>
  <c r="K5" i="90"/>
  <c r="H37" i="98"/>
  <c r="G37" i="98"/>
  <c r="F37" i="98"/>
  <c r="F5" i="98"/>
  <c r="F40" i="90"/>
  <c r="H40" i="90"/>
  <c r="G40" i="90"/>
  <c r="Q11" i="93"/>
  <c r="G36" i="93"/>
  <c r="F36" i="93"/>
  <c r="H36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F18" i="106"/>
  <c r="K18" i="106"/>
  <c r="H19" i="106"/>
  <c r="M19" i="106"/>
  <c r="C85" i="106"/>
  <c r="F19" i="106"/>
  <c r="F85" i="106"/>
  <c r="C19" i="106"/>
  <c r="K85" i="106"/>
  <c r="H85" i="106"/>
  <c r="K19" i="106"/>
  <c r="M85" i="106"/>
  <c r="M66" i="106" l="1"/>
  <c r="Q10" i="106" s="1"/>
  <c r="P693" i="38"/>
  <c r="Q2" i="106"/>
  <c r="Q3" i="106" s="1"/>
  <c r="Q6" i="106" s="1"/>
  <c r="O693" i="38"/>
  <c r="Z693" i="38"/>
  <c r="U693" i="38"/>
  <c r="Q8" i="106"/>
  <c r="Q7" i="106" s="1"/>
  <c r="G72" i="46"/>
  <c r="F72" i="46"/>
  <c r="H72" i="46"/>
  <c r="F20" i="46"/>
  <c r="F39" i="86"/>
  <c r="H39" i="86"/>
  <c r="G39" i="86"/>
  <c r="F8" i="86"/>
  <c r="C18" i="86"/>
  <c r="Q5" i="106" l="1"/>
  <c r="Q9" i="106"/>
  <c r="Q13" i="53"/>
  <c r="Q13" i="69"/>
  <c r="F76" i="84"/>
  <c r="H76" i="84"/>
  <c r="G76" i="84"/>
  <c r="F249" i="25"/>
  <c r="H249" i="25"/>
  <c r="G249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3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48" i="25"/>
  <c r="F248" i="25"/>
  <c r="H248" i="25"/>
  <c r="K69" i="25"/>
  <c r="F4" i="96"/>
  <c r="F67" i="43"/>
  <c r="H67" i="43"/>
  <c r="G67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06" i="58"/>
  <c r="H106" i="58"/>
  <c r="G106" i="58"/>
  <c r="K23" i="58"/>
  <c r="H30" i="49"/>
  <c r="K30" i="49"/>
  <c r="O690" i="38" l="1"/>
  <c r="P690" i="38"/>
  <c r="U690" i="38"/>
  <c r="Z690" i="38"/>
  <c r="G35" i="93"/>
  <c r="F35" i="93"/>
  <c r="H35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47" i="25"/>
  <c r="G247" i="25"/>
  <c r="H247" i="25"/>
  <c r="F246" i="25"/>
  <c r="H246" i="25"/>
  <c r="G246" i="25"/>
  <c r="F89" i="25"/>
  <c r="F35" i="102"/>
  <c r="H35" i="102"/>
  <c r="G35" i="102"/>
  <c r="F5" i="102"/>
  <c r="F88" i="25"/>
  <c r="F157" i="51"/>
  <c r="H157" i="51"/>
  <c r="G157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34" i="93"/>
  <c r="H34" i="93"/>
  <c r="G34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45" i="25"/>
  <c r="H245" i="25"/>
  <c r="G245" i="25"/>
  <c r="F87" i="25"/>
  <c r="F33" i="93" l="1"/>
  <c r="H33" i="93"/>
  <c r="G33" i="93"/>
  <c r="F6" i="93"/>
  <c r="F40" i="99"/>
  <c r="H40" i="99"/>
  <c r="G40" i="99"/>
  <c r="K5" i="99"/>
  <c r="F104" i="58"/>
  <c r="G104" i="58"/>
  <c r="H104" i="58"/>
  <c r="F105" i="58"/>
  <c r="G105" i="58"/>
  <c r="H105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44" i="92"/>
  <c r="H44" i="92"/>
  <c r="G44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44" i="25"/>
  <c r="H244" i="25"/>
  <c r="G244" i="25"/>
  <c r="K68" i="25"/>
  <c r="C18" i="92"/>
  <c r="Z684" i="38" l="1"/>
  <c r="O684" i="38"/>
  <c r="P684" i="38"/>
  <c r="U684" i="38"/>
  <c r="G71" i="46"/>
  <c r="F71" i="46"/>
  <c r="H71" i="46"/>
  <c r="F39" i="99"/>
  <c r="H39" i="99"/>
  <c r="G39" i="99"/>
  <c r="F36" i="103"/>
  <c r="H36" i="103"/>
  <c r="G36" i="103"/>
  <c r="G60" i="88"/>
  <c r="F60" i="88"/>
  <c r="H60" i="88"/>
  <c r="F156" i="51"/>
  <c r="G156" i="51"/>
  <c r="H156" i="51"/>
  <c r="A683" i="38" l="1"/>
  <c r="D683" i="38"/>
  <c r="E683" i="38"/>
  <c r="G683" i="38"/>
  <c r="H683" i="38"/>
  <c r="K683" i="38"/>
  <c r="L683" i="38" s="1"/>
  <c r="P683" i="38" s="1"/>
  <c r="M683" i="38"/>
  <c r="N683" i="38" s="1"/>
  <c r="S683" i="38"/>
  <c r="O683" i="38" l="1"/>
  <c r="Z683" i="38"/>
  <c r="U683" i="38"/>
  <c r="F38" i="86"/>
  <c r="H38" i="86"/>
  <c r="G38" i="86"/>
  <c r="K4" i="86"/>
  <c r="F74" i="84" l="1"/>
  <c r="G74" i="84"/>
  <c r="H74" i="84"/>
  <c r="K10" i="84"/>
  <c r="H24" i="84"/>
  <c r="F243" i="25"/>
  <c r="G243" i="25"/>
  <c r="H243" i="25"/>
  <c r="K67" i="25"/>
  <c r="F76" i="81"/>
  <c r="H76" i="81"/>
  <c r="G76" i="81"/>
  <c r="K15" i="81"/>
  <c r="K3" i="82"/>
  <c r="F32" i="102"/>
  <c r="G32" i="102"/>
  <c r="H32" i="102"/>
  <c r="K2" i="102"/>
  <c r="K5" i="98"/>
  <c r="K12" i="57"/>
  <c r="K2" i="96"/>
  <c r="Q2" i="31" l="1"/>
  <c r="K2" i="31"/>
  <c r="K10" i="47"/>
  <c r="H18" i="47"/>
  <c r="F41" i="101"/>
  <c r="H41" i="101"/>
  <c r="G41" i="101"/>
  <c r="K7" i="101"/>
  <c r="H18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42" i="25"/>
  <c r="H242" i="25"/>
  <c r="G242" i="25"/>
  <c r="F86" i="25"/>
  <c r="F70" i="46"/>
  <c r="H70" i="46"/>
  <c r="G70" i="46"/>
  <c r="F41" i="47"/>
  <c r="H41" i="47"/>
  <c r="G41" i="47"/>
  <c r="K9" i="47"/>
  <c r="K13" i="46"/>
  <c r="F241" i="25"/>
  <c r="H241" i="25"/>
  <c r="G241" i="25"/>
  <c r="F43" i="92"/>
  <c r="H43" i="92"/>
  <c r="G43" i="92"/>
  <c r="F9" i="92"/>
  <c r="F85" i="25"/>
  <c r="F42" i="92"/>
  <c r="H42" i="92"/>
  <c r="G42" i="92"/>
  <c r="F8" i="92"/>
  <c r="Q13" i="68"/>
  <c r="Q13" i="47"/>
  <c r="F31" i="102"/>
  <c r="H31" i="102"/>
  <c r="G31" i="102"/>
  <c r="Q13" i="84"/>
  <c r="F72" i="84"/>
  <c r="H72" i="84"/>
  <c r="G72" i="84"/>
  <c r="F155" i="51"/>
  <c r="H155" i="51"/>
  <c r="G155" i="51"/>
  <c r="Q13" i="51"/>
  <c r="M19" i="47"/>
  <c r="H30" i="46"/>
  <c r="C19" i="47"/>
  <c r="H19" i="47"/>
  <c r="C30" i="46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1" i="92"/>
  <c r="H41" i="92"/>
  <c r="G41" i="92"/>
  <c r="F7" i="92"/>
  <c r="F40" i="92"/>
  <c r="H40" i="92"/>
  <c r="G40" i="92"/>
  <c r="K3" i="92"/>
  <c r="K4" i="92"/>
  <c r="F240" i="25"/>
  <c r="H240" i="25"/>
  <c r="G240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39" i="92"/>
  <c r="G39" i="92"/>
  <c r="H39" i="92"/>
  <c r="F71" i="84"/>
  <c r="H71" i="84"/>
  <c r="G71" i="84"/>
  <c r="F239" i="25"/>
  <c r="G239" i="25"/>
  <c r="H239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66" i="43"/>
  <c r="G66" i="43"/>
  <c r="H66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38" i="92"/>
  <c r="H38" i="92"/>
  <c r="G38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37" i="92"/>
  <c r="H37" i="92"/>
  <c r="G37" i="92"/>
  <c r="F69" i="84"/>
  <c r="G69" i="84"/>
  <c r="H69" i="84"/>
  <c r="F154" i="51"/>
  <c r="H154" i="51"/>
  <c r="G154" i="51"/>
  <c r="F238" i="25"/>
  <c r="G238" i="25"/>
  <c r="H238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3" i="105"/>
  <c r="Q11" i="105"/>
  <c r="F2" i="105"/>
  <c r="F18" i="105" s="1"/>
  <c r="C24" i="88"/>
  <c r="F19" i="105"/>
  <c r="H85" i="105"/>
  <c r="H19" i="105"/>
  <c r="F85" i="105"/>
  <c r="K85" i="105"/>
  <c r="C85" i="105"/>
  <c r="M85" i="105"/>
  <c r="C19" i="105"/>
  <c r="M19" i="105"/>
  <c r="K19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37" i="25"/>
  <c r="G237" i="25"/>
  <c r="H237" i="25"/>
  <c r="F84" i="25"/>
  <c r="F40" i="101"/>
  <c r="H40" i="101"/>
  <c r="G40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3" i="51"/>
  <c r="H153" i="51"/>
  <c r="G153" i="51"/>
  <c r="F44" i="51"/>
  <c r="F47" i="51"/>
  <c r="K33" i="51"/>
  <c r="K32" i="51"/>
  <c r="G103" i="58"/>
  <c r="F103" i="58"/>
  <c r="H103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36" i="25"/>
  <c r="H236" i="25"/>
  <c r="G236" i="25"/>
  <c r="F83" i="25"/>
  <c r="F152" i="51"/>
  <c r="G152" i="51"/>
  <c r="H152" i="51"/>
  <c r="F46" i="51"/>
  <c r="K31" i="51"/>
  <c r="G102" i="58"/>
  <c r="F102" i="58"/>
  <c r="H102" i="58"/>
  <c r="A673" i="38"/>
  <c r="D673" i="38"/>
  <c r="E673" i="38"/>
  <c r="G673" i="38"/>
  <c r="H673" i="38"/>
  <c r="K673" i="38"/>
  <c r="L673" i="38" s="1"/>
  <c r="M673" i="38"/>
  <c r="N673" i="38" s="1"/>
  <c r="S673" i="38"/>
  <c r="H25" i="88"/>
  <c r="C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39" i="101"/>
  <c r="H39" i="101"/>
  <c r="G39" i="101"/>
  <c r="K6" i="101"/>
  <c r="F235" i="25"/>
  <c r="G235" i="25"/>
  <c r="H235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01" i="58"/>
  <c r="F101" i="58"/>
  <c r="H101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34" i="25"/>
  <c r="H234" i="25"/>
  <c r="G234" i="25"/>
  <c r="K64" i="25"/>
  <c r="F151" i="51"/>
  <c r="G151" i="51"/>
  <c r="H151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P669" i="38" s="1"/>
  <c r="M669" i="38"/>
  <c r="N669" i="38" s="1"/>
  <c r="S669" i="38"/>
  <c r="F233" i="25"/>
  <c r="H233" i="25"/>
  <c r="G233" i="25"/>
  <c r="F82" i="25"/>
  <c r="F37" i="86"/>
  <c r="H37" i="86"/>
  <c r="G37" i="86"/>
  <c r="F7" i="86"/>
  <c r="F232" i="25"/>
  <c r="H232" i="25"/>
  <c r="G232" i="25"/>
  <c r="F81" i="25"/>
  <c r="F80" i="25"/>
  <c r="F150" i="51"/>
  <c r="H150" i="51"/>
  <c r="G150" i="51"/>
  <c r="F45" i="51"/>
  <c r="F33" i="96"/>
  <c r="H33" i="96"/>
  <c r="G33" i="96"/>
  <c r="F69" i="46"/>
  <c r="H69" i="46"/>
  <c r="M29" i="46"/>
  <c r="G69" i="46"/>
  <c r="O669" i="38" l="1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49" i="51"/>
  <c r="H149" i="51"/>
  <c r="G149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0" i="93"/>
  <c r="F30" i="93"/>
  <c r="H30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31" i="25"/>
  <c r="G231" i="25"/>
  <c r="H231" i="25"/>
  <c r="K63" i="25"/>
  <c r="G68" i="46"/>
  <c r="F68" i="46"/>
  <c r="H68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36" i="92"/>
  <c r="H36" i="92"/>
  <c r="G36" i="92"/>
  <c r="K4" i="74" l="1"/>
  <c r="F62" i="57"/>
  <c r="G62" i="57"/>
  <c r="H62" i="57"/>
  <c r="K10" i="57"/>
  <c r="H26" i="104"/>
  <c r="G26" i="104"/>
  <c r="F3" i="104"/>
  <c r="K2" i="104"/>
  <c r="F148" i="51"/>
  <c r="H148" i="51"/>
  <c r="G148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C18" i="90"/>
  <c r="F39" i="90"/>
  <c r="H39" i="90"/>
  <c r="G39" i="90"/>
  <c r="K4" i="90"/>
  <c r="A663" i="38"/>
  <c r="D663" i="38"/>
  <c r="E663" i="38"/>
  <c r="G663" i="38"/>
  <c r="H663" i="38"/>
  <c r="K663" i="38"/>
  <c r="L663" i="38" s="1"/>
  <c r="P663" i="38" s="1"/>
  <c r="M663" i="38"/>
  <c r="N663" i="38" s="1"/>
  <c r="S663" i="38"/>
  <c r="O663" i="38" l="1"/>
  <c r="Z663" i="38"/>
  <c r="F100" i="58"/>
  <c r="H100" i="58"/>
  <c r="G10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67" i="46"/>
  <c r="G67" i="46"/>
  <c r="H67" i="46"/>
  <c r="F59" i="82" l="1"/>
  <c r="K59" i="82"/>
  <c r="F60" i="57"/>
  <c r="H60" i="57"/>
  <c r="G60" i="57"/>
  <c r="R11" i="57"/>
  <c r="F38" i="101" l="1"/>
  <c r="H38" i="101"/>
  <c r="G38" i="101"/>
  <c r="K5" i="101"/>
  <c r="G42" i="49"/>
  <c r="H42" i="49"/>
  <c r="F147" i="51"/>
  <c r="G147" i="51"/>
  <c r="H147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30" i="25"/>
  <c r="G230" i="25"/>
  <c r="H230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66" i="46"/>
  <c r="H66" i="46"/>
  <c r="G66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29" i="25"/>
  <c r="H229" i="25"/>
  <c r="G229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6" i="51"/>
  <c r="H146" i="51"/>
  <c r="G146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65" i="46"/>
  <c r="G65" i="46"/>
  <c r="H65" i="46"/>
  <c r="F53" i="88"/>
  <c r="H53" i="88"/>
  <c r="G53" i="88"/>
  <c r="F145" i="51"/>
  <c r="G145" i="51"/>
  <c r="H145" i="51"/>
  <c r="F65" i="84"/>
  <c r="H65" i="84"/>
  <c r="G65" i="84"/>
  <c r="F228" i="25"/>
  <c r="H228" i="25"/>
  <c r="G228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4" i="51"/>
  <c r="G144" i="51"/>
  <c r="H144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3" i="51"/>
  <c r="H143" i="51"/>
  <c r="G143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37" i="101"/>
  <c r="H37" i="101"/>
  <c r="G37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27" i="25"/>
  <c r="G227" i="25"/>
  <c r="H227" i="25"/>
  <c r="K61" i="25"/>
  <c r="F99" i="58"/>
  <c r="H99" i="58"/>
  <c r="G99" i="58"/>
  <c r="H3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26" i="25"/>
  <c r="G226" i="25"/>
  <c r="H226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98" i="58"/>
  <c r="H98" i="58"/>
  <c r="G98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P642" i="38" s="1"/>
  <c r="M642" i="38"/>
  <c r="N642" i="38" s="1"/>
  <c r="S642" i="38"/>
  <c r="F31" i="103"/>
  <c r="H31" i="103"/>
  <c r="G31" i="103"/>
  <c r="Q13" i="103"/>
  <c r="AB14" i="58"/>
  <c r="AC14" i="58"/>
  <c r="AD14" i="58"/>
  <c r="AB35" i="58"/>
  <c r="AC35" i="58"/>
  <c r="AD35" i="58"/>
  <c r="AD53" i="58"/>
  <c r="AD54" i="58" s="1"/>
  <c r="F97" i="58"/>
  <c r="H97" i="58"/>
  <c r="G97" i="58"/>
  <c r="F24" i="58"/>
  <c r="O642" i="38" l="1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25" i="25"/>
  <c r="H225" i="25"/>
  <c r="G225" i="25"/>
  <c r="C96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P640" i="38" s="1"/>
  <c r="M640" i="38"/>
  <c r="N640" i="38" s="1"/>
  <c r="S640" i="38"/>
  <c r="F32" i="74"/>
  <c r="H32" i="74"/>
  <c r="G32" i="74"/>
  <c r="F6" i="74"/>
  <c r="F224" i="25"/>
  <c r="H224" i="25"/>
  <c r="G224" i="25"/>
  <c r="K58" i="25"/>
  <c r="F96" i="58"/>
  <c r="H96" i="58"/>
  <c r="G96" i="58"/>
  <c r="K18" i="58"/>
  <c r="O640" i="38" l="1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64" i="46"/>
  <c r="F64" i="46"/>
  <c r="H64" i="46"/>
  <c r="F18" i="46"/>
  <c r="F223" i="25"/>
  <c r="H223" i="25"/>
  <c r="G223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63" i="46"/>
  <c r="H63" i="46"/>
  <c r="G63" i="46"/>
  <c r="K11" i="46"/>
  <c r="F35" i="92"/>
  <c r="H35" i="92"/>
  <c r="G35" i="92"/>
  <c r="G29" i="93"/>
  <c r="F29" i="93"/>
  <c r="H29" i="93"/>
  <c r="F4" i="93"/>
  <c r="F28" i="93"/>
  <c r="G28" i="93"/>
  <c r="H28" i="93"/>
  <c r="F65" i="43"/>
  <c r="G65" i="43"/>
  <c r="H65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F85" i="104"/>
  <c r="H85" i="104"/>
  <c r="K19" i="104"/>
  <c r="C85" i="104"/>
  <c r="M19" i="104"/>
  <c r="F19" i="104"/>
  <c r="C19" i="104"/>
  <c r="H19" i="104"/>
  <c r="K85" i="104"/>
  <c r="M85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62" i="46"/>
  <c r="H62" i="46"/>
  <c r="G62" i="46"/>
  <c r="F17" i="46"/>
  <c r="F140" i="51"/>
  <c r="G140" i="51"/>
  <c r="H140" i="51"/>
  <c r="F41" i="51"/>
  <c r="Q3" i="104" l="1"/>
  <c r="Q6" i="104" s="1"/>
  <c r="Q9" i="104" s="1"/>
  <c r="Q5" i="104"/>
  <c r="P637" i="38"/>
  <c r="O637" i="38"/>
  <c r="Z637" i="38"/>
  <c r="U637" i="38"/>
  <c r="M18" i="99"/>
  <c r="F222" i="25"/>
  <c r="G222" i="25"/>
  <c r="H222" i="25"/>
  <c r="K56" i="25"/>
  <c r="H139" i="51"/>
  <c r="G139" i="51"/>
  <c r="F139" i="51"/>
  <c r="F138" i="51"/>
  <c r="G138" i="51"/>
  <c r="H138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F34" i="94"/>
  <c r="H34" i="94"/>
  <c r="G34" i="94"/>
  <c r="K3" i="94"/>
  <c r="F221" i="25"/>
  <c r="G221" i="25"/>
  <c r="H221" i="25"/>
  <c r="F76" i="25"/>
  <c r="F36" i="101"/>
  <c r="H36" i="101"/>
  <c r="G36" i="101"/>
  <c r="F7" i="101"/>
  <c r="F61" i="46"/>
  <c r="H61" i="46"/>
  <c r="G61" i="46"/>
  <c r="K10" i="46"/>
  <c r="F4" i="90"/>
  <c r="F37" i="90"/>
  <c r="G37" i="90"/>
  <c r="H37" i="90"/>
  <c r="K3" i="90"/>
  <c r="AD5" i="88" l="1"/>
  <c r="AE5" i="88" s="1"/>
  <c r="P635" i="38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60" i="46"/>
  <c r="G60" i="46"/>
  <c r="H60" i="46"/>
  <c r="F95" i="58"/>
  <c r="G95" i="58"/>
  <c r="H95" i="58"/>
  <c r="F58" i="57"/>
  <c r="G58" i="57"/>
  <c r="H58" i="57"/>
  <c r="F48" i="88"/>
  <c r="H48" i="88"/>
  <c r="G48" i="88"/>
  <c r="F220" i="25"/>
  <c r="G220" i="25"/>
  <c r="H220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5" i="101"/>
  <c r="H35" i="101"/>
  <c r="G35" i="101"/>
  <c r="C18" i="101"/>
  <c r="K4" i="101"/>
  <c r="F26" i="93"/>
  <c r="G26" i="93"/>
  <c r="H26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F34" i="101"/>
  <c r="H34" i="101"/>
  <c r="G34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36" i="51"/>
  <c r="G136" i="51"/>
  <c r="H136" i="51"/>
  <c r="C57" i="51"/>
  <c r="H57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Q13" i="46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5" i="51"/>
  <c r="G135" i="51"/>
  <c r="H135" i="51"/>
  <c r="F37" i="51"/>
  <c r="F134" i="51"/>
  <c r="G134" i="51"/>
  <c r="H134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4" i="58"/>
  <c r="G94" i="58"/>
  <c r="H94" i="58"/>
  <c r="F219" i="25"/>
  <c r="H219" i="25"/>
  <c r="G219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18" i="25"/>
  <c r="H218" i="25"/>
  <c r="G218" i="25"/>
  <c r="K55" i="25"/>
  <c r="F33" i="47"/>
  <c r="H33" i="47"/>
  <c r="G33" i="47"/>
  <c r="K5" i="47"/>
  <c r="F93" i="58"/>
  <c r="H93" i="58"/>
  <c r="G93" i="58"/>
  <c r="K17" i="58"/>
  <c r="F32" i="101"/>
  <c r="G32" i="101"/>
  <c r="H32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3" i="98"/>
  <c r="H64" i="43"/>
  <c r="G64" i="43"/>
  <c r="F64" i="43"/>
  <c r="Q13" i="43"/>
  <c r="F33" i="90"/>
  <c r="G33" i="90"/>
  <c r="H33" i="90"/>
  <c r="Q13" i="81"/>
  <c r="F57" i="57"/>
  <c r="H57" i="57"/>
  <c r="G57" i="57"/>
  <c r="Q13" i="57"/>
  <c r="F59" i="84"/>
  <c r="G59" i="84"/>
  <c r="H59" i="84"/>
  <c r="F131" i="51"/>
  <c r="G131" i="51"/>
  <c r="H131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92" i="58"/>
  <c r="H92" i="58"/>
  <c r="G92" i="58"/>
  <c r="F23" i="58"/>
  <c r="F31" i="101"/>
  <c r="H31" i="101"/>
  <c r="G31" i="101"/>
  <c r="F5" i="101"/>
  <c r="F217" i="25"/>
  <c r="H217" i="25"/>
  <c r="G217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91" i="58"/>
  <c r="H91" i="58"/>
  <c r="G91" i="58"/>
  <c r="F22" i="58"/>
  <c r="F216" i="25"/>
  <c r="G216" i="25"/>
  <c r="H216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15" i="25"/>
  <c r="H215" i="25"/>
  <c r="G215" i="25"/>
  <c r="K54" i="25"/>
  <c r="F90" i="58"/>
  <c r="H90" i="58"/>
  <c r="G90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59" i="46"/>
  <c r="G59" i="46"/>
  <c r="H59" i="46"/>
  <c r="K9" i="46"/>
  <c r="F130" i="51"/>
  <c r="G130" i="51"/>
  <c r="H130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14" i="25"/>
  <c r="H214" i="25"/>
  <c r="G214" i="25"/>
  <c r="K53" i="25"/>
  <c r="A616" i="38"/>
  <c r="D616" i="38"/>
  <c r="E616" i="38"/>
  <c r="G616" i="38"/>
  <c r="H616" i="38"/>
  <c r="K616" i="38"/>
  <c r="L616" i="38" s="1"/>
  <c r="M616" i="38"/>
  <c r="N616" i="38" s="1"/>
  <c r="F89" i="58"/>
  <c r="H89" i="58"/>
  <c r="G89" i="58"/>
  <c r="F21" i="58"/>
  <c r="F29" i="47"/>
  <c r="H29" i="47"/>
  <c r="G29" i="47"/>
  <c r="F8" i="47"/>
  <c r="H213" i="25"/>
  <c r="G213" i="25"/>
  <c r="F213" i="25"/>
  <c r="F212" i="25"/>
  <c r="G212" i="25"/>
  <c r="H212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211" i="25" l="1"/>
  <c r="H211" i="25"/>
  <c r="G211" i="25"/>
  <c r="K52" i="25"/>
  <c r="F88" i="58"/>
  <c r="H88" i="58"/>
  <c r="G88" i="58"/>
  <c r="K15" i="58"/>
  <c r="F129" i="51"/>
  <c r="G129" i="51"/>
  <c r="H129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10" i="25"/>
  <c r="H210" i="25"/>
  <c r="G210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7" i="58"/>
  <c r="H87" i="58"/>
  <c r="G87" i="58"/>
  <c r="F20" i="58"/>
  <c r="F209" i="25"/>
  <c r="H209" i="25"/>
  <c r="G209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08" i="25"/>
  <c r="G208" i="25"/>
  <c r="H208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58" i="46"/>
  <c r="H58" i="46"/>
  <c r="G58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3" i="43"/>
  <c r="G63" i="43"/>
  <c r="F63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57" i="46"/>
  <c r="H57" i="46"/>
  <c r="G57" i="46"/>
  <c r="F32" i="91"/>
  <c r="H32" i="91"/>
  <c r="G32" i="91"/>
  <c r="F86" i="58"/>
  <c r="G86" i="58"/>
  <c r="H86" i="58"/>
  <c r="H61" i="81"/>
  <c r="G61" i="81"/>
  <c r="F61" i="81"/>
  <c r="F207" i="25"/>
  <c r="G207" i="25"/>
  <c r="H207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2" i="43"/>
  <c r="G62" i="43"/>
  <c r="F62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28" i="51"/>
  <c r="G128" i="51"/>
  <c r="H128" i="51"/>
  <c r="K19" i="51"/>
  <c r="F35" i="51"/>
  <c r="F34" i="51"/>
  <c r="F206" i="25"/>
  <c r="H206" i="25"/>
  <c r="G206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05" i="25"/>
  <c r="H205" i="25"/>
  <c r="G205" i="25"/>
  <c r="K50" i="25"/>
  <c r="F27" i="101"/>
  <c r="G27" i="101"/>
  <c r="H27" i="101"/>
  <c r="K2" i="101"/>
  <c r="K18" i="101" s="1"/>
  <c r="F26" i="96"/>
  <c r="G26" i="96"/>
  <c r="H26" i="96"/>
  <c r="F3" i="96"/>
  <c r="F26" i="101"/>
  <c r="G26" i="101"/>
  <c r="H26" i="101"/>
  <c r="F3" i="101"/>
  <c r="F4" i="92"/>
  <c r="F204" i="25"/>
  <c r="H204" i="25"/>
  <c r="G204" i="25"/>
  <c r="F69" i="25"/>
  <c r="C85" i="103"/>
  <c r="H85" i="103"/>
  <c r="C19" i="103"/>
  <c r="F19" i="103"/>
  <c r="F85" i="103"/>
  <c r="H19" i="103"/>
  <c r="K19" i="103"/>
  <c r="K85" i="103"/>
  <c r="M85" i="103"/>
  <c r="M19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03" i="25"/>
  <c r="H203" i="25"/>
  <c r="G203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F2" i="102"/>
  <c r="F18" i="102" s="1"/>
  <c r="F56" i="57"/>
  <c r="H56" i="57"/>
  <c r="G56" i="57"/>
  <c r="K8" i="57"/>
  <c r="F202" i="25"/>
  <c r="H202" i="25"/>
  <c r="G202" i="25"/>
  <c r="K48" i="25"/>
  <c r="F69" i="87"/>
  <c r="K69" i="87"/>
  <c r="C85" i="102"/>
  <c r="F19" i="102"/>
  <c r="H19" i="102"/>
  <c r="C19" i="102"/>
  <c r="H85" i="102"/>
  <c r="K85" i="102"/>
  <c r="K19" i="102"/>
  <c r="M85" i="102"/>
  <c r="F85" i="102"/>
  <c r="M19" i="102"/>
  <c r="Q5" i="103" l="1"/>
  <c r="Q8" i="103"/>
  <c r="Q7" i="103" s="1"/>
  <c r="P609" i="38"/>
  <c r="M66" i="102"/>
  <c r="Q10" i="102" s="1"/>
  <c r="Q2" i="102"/>
  <c r="Q8" i="102" s="1"/>
  <c r="Q7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9" i="103" l="1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1" i="43"/>
  <c r="H61" i="43"/>
  <c r="G61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C18" i="99"/>
  <c r="F2" i="99"/>
  <c r="F18" i="99" s="1"/>
  <c r="F56" i="46"/>
  <c r="H56" i="46"/>
  <c r="G56" i="46"/>
  <c r="F15" i="46"/>
  <c r="F85" i="58"/>
  <c r="H85" i="58"/>
  <c r="G85" i="58"/>
  <c r="F19" i="58"/>
  <c r="F43" i="88"/>
  <c r="H43" i="88"/>
  <c r="G43" i="88"/>
  <c r="F10" i="88"/>
  <c r="AA10" i="88" s="1"/>
  <c r="AB10" i="88" s="1"/>
  <c r="C85" i="99"/>
  <c r="F19" i="99"/>
  <c r="H85" i="100"/>
  <c r="F85" i="100"/>
  <c r="C19" i="100"/>
  <c r="H19" i="101"/>
  <c r="K85" i="100"/>
  <c r="C85" i="101"/>
  <c r="M19" i="99"/>
  <c r="M85" i="101"/>
  <c r="C85" i="100"/>
  <c r="K19" i="99"/>
  <c r="F85" i="99"/>
  <c r="H85" i="101"/>
  <c r="H19" i="99"/>
  <c r="M85" i="99"/>
  <c r="F19" i="100"/>
  <c r="K85" i="99"/>
  <c r="M19" i="101"/>
  <c r="C19" i="101"/>
  <c r="F85" i="101"/>
  <c r="K19" i="101"/>
  <c r="K19" i="100"/>
  <c r="M19" i="100"/>
  <c r="H85" i="99"/>
  <c r="M85" i="100"/>
  <c r="H19" i="100"/>
  <c r="K85" i="101"/>
  <c r="F19" i="101"/>
  <c r="C19" i="99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0" i="43"/>
  <c r="G60" i="43"/>
  <c r="H60" i="43"/>
  <c r="F55" i="46"/>
  <c r="G55" i="46"/>
  <c r="H55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55" i="84"/>
  <c r="H55" i="84"/>
  <c r="G55" i="84"/>
  <c r="F201" i="25"/>
  <c r="H201" i="25"/>
  <c r="G201" i="25"/>
  <c r="F57" i="81"/>
  <c r="H57" i="81"/>
  <c r="G57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7" i="51"/>
  <c r="G127" i="51"/>
  <c r="H127" i="51"/>
  <c r="F200" i="25"/>
  <c r="G200" i="25"/>
  <c r="H200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F32" i="51"/>
  <c r="F31" i="51"/>
  <c r="F27" i="94"/>
  <c r="G27" i="94"/>
  <c r="H27" i="94"/>
  <c r="F3" i="94"/>
  <c r="F27" i="92"/>
  <c r="G27" i="92"/>
  <c r="H27" i="92"/>
  <c r="K2" i="92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F53" i="84"/>
  <c r="H53" i="84"/>
  <c r="G53" i="84"/>
  <c r="F13" i="84"/>
  <c r="F52" i="84"/>
  <c r="H52" i="84"/>
  <c r="G52" i="84"/>
  <c r="K7" i="84"/>
  <c r="F84" i="58" l="1"/>
  <c r="G84" i="58"/>
  <c r="H84" i="58"/>
  <c r="F55" i="81"/>
  <c r="G55" i="81"/>
  <c r="H55" i="81"/>
  <c r="F122" i="51"/>
  <c r="G122" i="51"/>
  <c r="H122" i="51"/>
  <c r="F199" i="25"/>
  <c r="H199" i="25"/>
  <c r="G199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54" i="81"/>
  <c r="H54" i="81"/>
  <c r="G54" i="81"/>
  <c r="F14" i="81"/>
  <c r="F19" i="98"/>
  <c r="C19" i="98"/>
  <c r="F85" i="97"/>
  <c r="H85" i="97"/>
  <c r="K85" i="97"/>
  <c r="F19" i="97"/>
  <c r="M19" i="97"/>
  <c r="F85" i="98"/>
  <c r="K25" i="88"/>
  <c r="K19" i="98"/>
  <c r="C19" i="97"/>
  <c r="H19" i="98"/>
  <c r="C85" i="98"/>
  <c r="H85" i="98"/>
  <c r="H19" i="97"/>
  <c r="M19" i="98"/>
  <c r="M85" i="97"/>
  <c r="K85" i="98"/>
  <c r="C85" i="97"/>
  <c r="M85" i="98"/>
  <c r="K19" i="97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198" i="25"/>
  <c r="H198" i="25"/>
  <c r="G198" i="25"/>
  <c r="F68" i="25"/>
  <c r="F54" i="46" l="1"/>
  <c r="G54" i="46"/>
  <c r="H54" i="46"/>
  <c r="F26" i="74"/>
  <c r="G26" i="74"/>
  <c r="H26" i="74"/>
  <c r="F47" i="70"/>
  <c r="H47" i="70"/>
  <c r="G47" i="70"/>
  <c r="F53" i="77"/>
  <c r="G53" i="77"/>
  <c r="H53" i="77"/>
  <c r="H83" i="58"/>
  <c r="G83" i="58"/>
  <c r="F83" i="58"/>
  <c r="F82" i="58"/>
  <c r="H82" i="58"/>
  <c r="G8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197" i="25"/>
  <c r="G197" i="25"/>
  <c r="H197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96" i="25"/>
  <c r="H196" i="25"/>
  <c r="G196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95" i="25"/>
  <c r="H195" i="25"/>
  <c r="G195" i="25"/>
  <c r="F66" i="25"/>
  <c r="M84" i="96"/>
  <c r="K84" i="96"/>
  <c r="H84" i="96"/>
  <c r="F84" i="96"/>
  <c r="C84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194" i="25"/>
  <c r="H194" i="25"/>
  <c r="G194" i="25"/>
  <c r="K47" i="25"/>
  <c r="F81" i="58"/>
  <c r="H81" i="58"/>
  <c r="G81" i="58"/>
  <c r="K14" i="58"/>
  <c r="F80" i="58"/>
  <c r="H80" i="58"/>
  <c r="G80" i="58"/>
  <c r="K13" i="58"/>
  <c r="M19" i="96"/>
  <c r="M85" i="96"/>
  <c r="C85" i="96"/>
  <c r="K19" i="96"/>
  <c r="F85" i="96"/>
  <c r="C19" i="96"/>
  <c r="F19" i="96"/>
  <c r="K85" i="96"/>
  <c r="H19" i="96"/>
  <c r="H85" i="96"/>
  <c r="Q2" i="96" l="1"/>
  <c r="M66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93" i="25"/>
  <c r="H193" i="25"/>
  <c r="G193" i="25"/>
  <c r="F65" i="25"/>
  <c r="F26" i="90"/>
  <c r="G26" i="90"/>
  <c r="H26" i="90"/>
  <c r="O587" i="38" l="1"/>
  <c r="Z587" i="38"/>
  <c r="U587" i="38"/>
  <c r="F50" i="77"/>
  <c r="H50" i="77"/>
  <c r="G50" i="77"/>
  <c r="F79" i="58"/>
  <c r="H79" i="58"/>
  <c r="G79" i="58"/>
  <c r="F120" i="51"/>
  <c r="G120" i="51"/>
  <c r="H120" i="51"/>
  <c r="F192" i="25"/>
  <c r="H192" i="25"/>
  <c r="G192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191" i="25"/>
  <c r="H191" i="25"/>
  <c r="G191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53" i="46"/>
  <c r="G53" i="46"/>
  <c r="H53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78" i="58"/>
  <c r="H78" i="58"/>
  <c r="F77" i="58"/>
  <c r="H77" i="58"/>
  <c r="G78" i="58"/>
  <c r="K12" i="58"/>
  <c r="F44" i="57"/>
  <c r="H44" i="57"/>
  <c r="G44" i="57"/>
  <c r="K5" i="57"/>
  <c r="F190" i="25"/>
  <c r="G190" i="25"/>
  <c r="H190" i="25"/>
  <c r="F189" i="25"/>
  <c r="H189" i="25"/>
  <c r="F188" i="25"/>
  <c r="H188" i="25"/>
  <c r="F187" i="25"/>
  <c r="H187" i="25"/>
  <c r="K43" i="25"/>
  <c r="F25" i="47"/>
  <c r="G25" i="47"/>
  <c r="H25" i="47"/>
  <c r="F24" i="47"/>
  <c r="G24" i="47"/>
  <c r="H24" i="47"/>
  <c r="K2" i="47"/>
  <c r="K18" i="47" s="1"/>
  <c r="G189" i="25"/>
  <c r="F61" i="25"/>
  <c r="G49" i="81"/>
  <c r="K4" i="81"/>
  <c r="G188" i="25"/>
  <c r="K42" i="25"/>
  <c r="F6" i="47"/>
  <c r="F5" i="91"/>
  <c r="G48" i="81"/>
  <c r="F11" i="81"/>
  <c r="F8" i="57"/>
  <c r="G187" i="25"/>
  <c r="F2" i="49"/>
  <c r="G7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86" i="25"/>
  <c r="H186" i="25"/>
  <c r="G186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M85" i="95"/>
  <c r="F19" i="95"/>
  <c r="C19" i="95"/>
  <c r="K85" i="95"/>
  <c r="H85" i="95"/>
  <c r="C85" i="95"/>
  <c r="H19" i="95"/>
  <c r="M19" i="95"/>
  <c r="K19" i="95"/>
  <c r="F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18" i="51"/>
  <c r="G118" i="51"/>
  <c r="H118" i="51"/>
  <c r="F29" i="51"/>
  <c r="K85" i="94"/>
  <c r="H19" i="94"/>
  <c r="M19" i="94"/>
  <c r="K19" i="94"/>
  <c r="F19" i="94"/>
  <c r="F85" i="94"/>
  <c r="M85" i="94"/>
  <c r="C85" i="94"/>
  <c r="C19" i="94"/>
  <c r="H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F2" i="93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C85" i="93"/>
  <c r="M19" i="93"/>
  <c r="H19" i="93"/>
  <c r="K19" i="93"/>
  <c r="K85" i="93"/>
  <c r="F19" i="93"/>
  <c r="M85" i="93"/>
  <c r="H85" i="93"/>
  <c r="C19" i="93"/>
  <c r="F85" i="93"/>
  <c r="Q8" i="94" l="1"/>
  <c r="Q7" i="94" s="1"/>
  <c r="Q3" i="94"/>
  <c r="Q6" i="94" s="1"/>
  <c r="Z578" i="38"/>
  <c r="O578" i="38"/>
  <c r="P578" i="38"/>
  <c r="M66" i="93"/>
  <c r="Q10" i="93" s="1"/>
  <c r="Q2" i="93"/>
  <c r="Q3" i="93" s="1"/>
  <c r="Q6" i="93" s="1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F59" i="43"/>
  <c r="H59" i="43"/>
  <c r="G59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F2" i="92"/>
  <c r="F18" i="92" s="1"/>
  <c r="F76" i="58"/>
  <c r="G76" i="58"/>
  <c r="H7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185" i="25"/>
  <c r="H185" i="25"/>
  <c r="G185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K85" i="91"/>
  <c r="C19" i="92"/>
  <c r="C85" i="92"/>
  <c r="K85" i="92"/>
  <c r="F19" i="91"/>
  <c r="M85" i="92"/>
  <c r="K19" i="91"/>
  <c r="H85" i="92"/>
  <c r="C85" i="91"/>
  <c r="H19" i="92"/>
  <c r="F19" i="47"/>
  <c r="C19" i="91"/>
  <c r="M85" i="91"/>
  <c r="F85" i="92"/>
  <c r="M19" i="91"/>
  <c r="K19" i="92"/>
  <c r="H85" i="91"/>
  <c r="M19" i="92"/>
  <c r="H19" i="91"/>
  <c r="F19" i="92"/>
  <c r="F85" i="91"/>
  <c r="F18" i="47" l="1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75" i="58"/>
  <c r="H75" i="58"/>
  <c r="G75" i="58"/>
  <c r="F16" i="58"/>
  <c r="G43" i="70"/>
  <c r="F43" i="70"/>
  <c r="H43" i="70"/>
  <c r="F13" i="70"/>
  <c r="F116" i="51"/>
  <c r="G116" i="51"/>
  <c r="H116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84" i="25"/>
  <c r="H184" i="25"/>
  <c r="G184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83" i="25"/>
  <c r="G183" i="25"/>
  <c r="H183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F74" i="58"/>
  <c r="H74" i="58"/>
  <c r="G74" i="58"/>
  <c r="K11" i="58"/>
  <c r="F42" i="70"/>
  <c r="H42" i="70"/>
  <c r="G42" i="70"/>
  <c r="K7" i="70"/>
  <c r="F52" i="46"/>
  <c r="H52" i="46"/>
  <c r="G52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51" i="46"/>
  <c r="H51" i="46"/>
  <c r="G51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F50" i="46"/>
  <c r="H50" i="46"/>
  <c r="G50" i="46"/>
  <c r="F14" i="46"/>
  <c r="F182" i="25"/>
  <c r="G182" i="25"/>
  <c r="H182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81" i="25"/>
  <c r="H181" i="25"/>
  <c r="G181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73" i="58"/>
  <c r="H73" i="58"/>
  <c r="G7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Z567" i="38" l="1"/>
  <c r="O567" i="38"/>
  <c r="U567" i="38"/>
  <c r="F72" i="58"/>
  <c r="H72" i="58"/>
  <c r="G7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80" i="25"/>
  <c r="H180" i="25"/>
  <c r="G180" i="25"/>
  <c r="K40" i="25"/>
  <c r="F179" i="25"/>
  <c r="H179" i="25"/>
  <c r="G179" i="25"/>
  <c r="K39" i="25"/>
  <c r="F53" i="25"/>
  <c r="Z565" i="38" l="1"/>
  <c r="O565" i="38"/>
  <c r="U565" i="38"/>
  <c r="P565" i="38"/>
  <c r="Q11" i="89"/>
  <c r="F178" i="25"/>
  <c r="H178" i="25"/>
  <c r="G178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77" i="25"/>
  <c r="H177" i="25"/>
  <c r="G177" i="25"/>
  <c r="F51" i="25"/>
  <c r="F71" i="58"/>
  <c r="H71" i="58"/>
  <c r="G7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0" i="58"/>
  <c r="G70" i="58"/>
  <c r="H70" i="58"/>
  <c r="AC25" i="31" l="1"/>
  <c r="F176" i="25"/>
  <c r="H176" i="25"/>
  <c r="G176" i="25"/>
  <c r="K38" i="25"/>
  <c r="F109" i="51"/>
  <c r="G109" i="51"/>
  <c r="H109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75" i="25"/>
  <c r="H175" i="25"/>
  <c r="G175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69" i="58"/>
  <c r="H69" i="58"/>
  <c r="G69" i="58"/>
  <c r="F49" i="46"/>
  <c r="G49" i="46"/>
  <c r="H49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74" i="25"/>
  <c r="G174" i="25"/>
  <c r="H174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08" i="51"/>
  <c r="G108" i="51"/>
  <c r="H108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73" i="25"/>
  <c r="G173" i="25"/>
  <c r="H173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K18" i="90"/>
  <c r="F2" i="90"/>
  <c r="F18" i="90" s="1"/>
  <c r="F107" i="51"/>
  <c r="G107" i="51"/>
  <c r="H107" i="51"/>
  <c r="K14" i="51"/>
  <c r="F19" i="90"/>
  <c r="C85" i="90"/>
  <c r="F85" i="90"/>
  <c r="H19" i="90"/>
  <c r="K19" i="90"/>
  <c r="K85" i="90"/>
  <c r="C19" i="90"/>
  <c r="M19" i="90"/>
  <c r="H85" i="90"/>
  <c r="M85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72" i="25"/>
  <c r="H172" i="25"/>
  <c r="G172" i="25"/>
  <c r="K35" i="25"/>
  <c r="F106" i="51"/>
  <c r="G106" i="51"/>
  <c r="H106" i="51"/>
  <c r="F24" i="51"/>
  <c r="F105" i="51"/>
  <c r="G105" i="51"/>
  <c r="H105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48" i="46"/>
  <c r="G48" i="46"/>
  <c r="H48" i="46"/>
  <c r="F104" i="51"/>
  <c r="G104" i="51"/>
  <c r="H104" i="51"/>
  <c r="F171" i="25"/>
  <c r="G171" i="25"/>
  <c r="H171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70" i="25"/>
  <c r="H170" i="25"/>
  <c r="G170" i="25"/>
  <c r="K34" i="25"/>
  <c r="R11" i="58"/>
  <c r="Q11" i="58" s="1"/>
  <c r="F68" i="58"/>
  <c r="H68" i="58"/>
  <c r="G68" i="58"/>
  <c r="K9" i="58"/>
  <c r="F103" i="51"/>
  <c r="G103" i="51"/>
  <c r="H103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F85" i="89"/>
  <c r="M19" i="89"/>
  <c r="H19" i="89"/>
  <c r="F19" i="89"/>
  <c r="K85" i="89"/>
  <c r="C85" i="89"/>
  <c r="C19" i="89"/>
  <c r="M85" i="89"/>
  <c r="H58" i="51"/>
  <c r="H85" i="89"/>
  <c r="K19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90" i="88"/>
  <c r="K90" i="88"/>
  <c r="H90" i="88"/>
  <c r="F90" i="88"/>
  <c r="C90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K85" i="87"/>
  <c r="C91" i="88"/>
  <c r="K91" i="88"/>
  <c r="M91" i="88"/>
  <c r="F25" i="88"/>
  <c r="M85" i="87"/>
  <c r="F19" i="87"/>
  <c r="M19" i="87"/>
  <c r="H19" i="87"/>
  <c r="C85" i="87"/>
  <c r="H85" i="87"/>
  <c r="F85" i="87"/>
  <c r="M25" i="88"/>
  <c r="H91" i="88"/>
  <c r="C19" i="87"/>
  <c r="F91" i="88"/>
  <c r="K19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72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47" i="46"/>
  <c r="H47" i="46"/>
  <c r="G47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69" i="25"/>
  <c r="G169" i="25"/>
  <c r="H169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H18" i="86"/>
  <c r="K18" i="86"/>
  <c r="K6" i="70"/>
  <c r="F85" i="86"/>
  <c r="H19" i="86"/>
  <c r="M19" i="86"/>
  <c r="C85" i="86"/>
  <c r="H85" i="86"/>
  <c r="K85" i="86"/>
  <c r="C19" i="86"/>
  <c r="M85" i="86"/>
  <c r="F19" i="86"/>
  <c r="AA2" i="86" l="1"/>
  <c r="AB2" i="86" s="1"/>
  <c r="Q2" i="86"/>
  <c r="M66" i="86"/>
  <c r="Q10" i="86" s="1"/>
  <c r="AM2" i="86" s="1"/>
  <c r="F37" i="70"/>
  <c r="H37" i="70"/>
  <c r="G37" i="70"/>
  <c r="F11" i="70"/>
  <c r="G57" i="43"/>
  <c r="G58" i="43"/>
  <c r="F58" i="43"/>
  <c r="H58" i="43"/>
  <c r="F14" i="43"/>
  <c r="K10" i="43"/>
  <c r="F101" i="51"/>
  <c r="G101" i="51"/>
  <c r="H101" i="51"/>
  <c r="K12" i="51"/>
  <c r="A550" i="38"/>
  <c r="D550" i="38"/>
  <c r="E550" i="38"/>
  <c r="G550" i="38"/>
  <c r="H550" i="38"/>
  <c r="K550" i="38"/>
  <c r="L550" i="38" s="1"/>
  <c r="M550" i="38"/>
  <c r="N550" i="38" s="1"/>
  <c r="M22" i="43"/>
  <c r="C22" i="43"/>
  <c r="H22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46" i="46"/>
  <c r="H46" i="46"/>
  <c r="G46" i="46"/>
  <c r="K5" i="46"/>
  <c r="F67" i="58"/>
  <c r="H67" i="58"/>
  <c r="G67" i="58"/>
  <c r="F10" i="58"/>
  <c r="K8" i="58"/>
  <c r="F168" i="25"/>
  <c r="H168" i="25"/>
  <c r="G168" i="25"/>
  <c r="K33" i="25"/>
  <c r="F44" i="84"/>
  <c r="H44" i="84"/>
  <c r="G44" i="84"/>
  <c r="K5" i="84"/>
  <c r="F167" i="25"/>
  <c r="G167" i="25"/>
  <c r="H167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66" i="25"/>
  <c r="H166" i="25"/>
  <c r="Z549" i="38" l="1"/>
  <c r="Q9" i="86"/>
  <c r="P549" i="38"/>
  <c r="O549" i="38"/>
  <c r="U549" i="38"/>
  <c r="F100" i="51"/>
  <c r="G100" i="51"/>
  <c r="H100" i="51"/>
  <c r="K11" i="51"/>
  <c r="F36" i="70"/>
  <c r="H36" i="70"/>
  <c r="G36" i="70"/>
  <c r="F10" i="70"/>
  <c r="F45" i="46"/>
  <c r="H45" i="46"/>
  <c r="G45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66" i="25"/>
  <c r="K30" i="25"/>
  <c r="Z548" i="38" l="1"/>
  <c r="P548" i="38"/>
  <c r="O548" i="38"/>
  <c r="U548" i="38"/>
  <c r="F165" i="25"/>
  <c r="G165" i="25"/>
  <c r="H165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64" i="25"/>
  <c r="H164" i="25"/>
  <c r="G164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F163" i="25"/>
  <c r="H163" i="25"/>
  <c r="G163" i="25"/>
  <c r="K27" i="25"/>
  <c r="H44" i="46"/>
  <c r="F44" i="46"/>
  <c r="G44" i="46"/>
  <c r="F57" i="43"/>
  <c r="H57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6" i="58"/>
  <c r="G66" i="58"/>
  <c r="H66" i="58"/>
  <c r="F162" i="25"/>
  <c r="H162" i="25"/>
  <c r="G162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43" i="46"/>
  <c r="F43" i="46"/>
  <c r="G43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T302" i="1"/>
  <c r="F37" i="57"/>
  <c r="G37" i="57"/>
  <c r="H37" i="57"/>
  <c r="F161" i="25"/>
  <c r="H161" i="25"/>
  <c r="G161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60" i="25"/>
  <c r="H160" i="25"/>
  <c r="G160" i="25"/>
  <c r="F159" i="25"/>
  <c r="H159" i="25"/>
  <c r="G159" i="25"/>
  <c r="G56" i="43"/>
  <c r="F56" i="43"/>
  <c r="H56" i="43"/>
  <c r="K8" i="43"/>
  <c r="F50" i="25"/>
  <c r="F27" i="45"/>
  <c r="G27" i="45"/>
  <c r="H27" i="45"/>
  <c r="F36" i="57"/>
  <c r="H36" i="57"/>
  <c r="G36" i="57"/>
  <c r="K4" i="57"/>
  <c r="K19" i="82"/>
  <c r="K19" i="45"/>
  <c r="P534" i="38" l="1"/>
  <c r="N534" i="38"/>
  <c r="F96" i="51"/>
  <c r="G96" i="51"/>
  <c r="H96" i="51"/>
  <c r="K9" i="51"/>
  <c r="F95" i="51"/>
  <c r="G95" i="51"/>
  <c r="H95" i="51"/>
  <c r="K8" i="51"/>
  <c r="O534" i="38" l="1"/>
  <c r="Z534" i="38"/>
  <c r="E533" i="38"/>
  <c r="H533" i="38"/>
  <c r="K533" i="38"/>
  <c r="L533" i="38" s="1"/>
  <c r="M533" i="38"/>
  <c r="U533" i="38" s="1"/>
  <c r="S533" i="38"/>
  <c r="F65" i="58"/>
  <c r="H65" i="58"/>
  <c r="G65" i="58"/>
  <c r="K7" i="58"/>
  <c r="F43" i="77"/>
  <c r="H43" i="77"/>
  <c r="G43" i="77"/>
  <c r="K4" i="77"/>
  <c r="F55" i="43"/>
  <c r="H55" i="43"/>
  <c r="G55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42" i="46"/>
  <c r="H42" i="46"/>
  <c r="G42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58" i="25"/>
  <c r="H158" i="25"/>
  <c r="G158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57" i="25"/>
  <c r="H157" i="25"/>
  <c r="G157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41" i="46"/>
  <c r="H41" i="46"/>
  <c r="G41" i="46"/>
  <c r="F12" i="46"/>
  <c r="F40" i="84"/>
  <c r="H40" i="84"/>
  <c r="G40" i="84"/>
  <c r="K3" i="84"/>
  <c r="O523" i="38" l="1"/>
  <c r="Z523" i="38"/>
  <c r="N522" i="38"/>
  <c r="P522" i="38"/>
  <c r="F93" i="51"/>
  <c r="G93" i="51"/>
  <c r="H93" i="51"/>
  <c r="F64" i="58"/>
  <c r="G64" i="58"/>
  <c r="H6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0" i="46"/>
  <c r="H40" i="46"/>
  <c r="G40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39" i="46"/>
  <c r="H39" i="46"/>
  <c r="G39" i="46"/>
  <c r="K2" i="46"/>
  <c r="F156" i="25"/>
  <c r="H156" i="25"/>
  <c r="G156" i="25"/>
  <c r="F46" i="25"/>
  <c r="F54" i="43"/>
  <c r="H54" i="43"/>
  <c r="G54" i="43"/>
  <c r="M21" i="43"/>
  <c r="H21" i="43"/>
  <c r="K6" i="43"/>
  <c r="C21" i="40"/>
  <c r="K30" i="46"/>
  <c r="M30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55" i="25"/>
  <c r="H155" i="25"/>
  <c r="G155" i="25"/>
  <c r="K24" i="25"/>
  <c r="F40" i="77"/>
  <c r="H40" i="77"/>
  <c r="G40" i="77"/>
  <c r="F9" i="77"/>
  <c r="F38" i="46"/>
  <c r="H38" i="46"/>
  <c r="G38" i="46"/>
  <c r="F9" i="46"/>
  <c r="F8" i="46"/>
  <c r="F53" i="43"/>
  <c r="H53" i="43"/>
  <c r="G53" i="43"/>
  <c r="F12" i="43"/>
  <c r="F30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37" i="46"/>
  <c r="H37" i="46"/>
  <c r="G37" i="46"/>
  <c r="F154" i="25"/>
  <c r="H154" i="25"/>
  <c r="G154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53" i="25"/>
  <c r="H153" i="25"/>
  <c r="G153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63" i="58"/>
  <c r="G63" i="58"/>
  <c r="H63" i="58"/>
  <c r="F92" i="51"/>
  <c r="G92" i="51"/>
  <c r="H92" i="51"/>
  <c r="F152" i="25"/>
  <c r="G152" i="25"/>
  <c r="H152" i="25"/>
  <c r="O508" i="38" l="1"/>
  <c r="Z508" i="38"/>
  <c r="P507" i="38"/>
  <c r="N507" i="38"/>
  <c r="F151" i="25"/>
  <c r="G151" i="25"/>
  <c r="H151" i="25"/>
  <c r="F52" i="43"/>
  <c r="H52" i="43"/>
  <c r="G52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36" i="46"/>
  <c r="G36" i="46"/>
  <c r="H36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1" i="43"/>
  <c r="G51" i="43"/>
  <c r="H51" i="43"/>
  <c r="F62" i="58"/>
  <c r="H62" i="58"/>
  <c r="G62" i="58"/>
  <c r="F91" i="51"/>
  <c r="G91" i="51"/>
  <c r="H91" i="51"/>
  <c r="F150" i="25"/>
  <c r="G150" i="25"/>
  <c r="H150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0" i="43"/>
  <c r="H50" i="43"/>
  <c r="G50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83" i="45"/>
  <c r="K82" i="45"/>
  <c r="F82" i="45"/>
  <c r="K81" i="45"/>
  <c r="F81" i="45"/>
  <c r="K80" i="45"/>
  <c r="F80" i="45"/>
  <c r="K79" i="45"/>
  <c r="F79" i="45"/>
  <c r="K78" i="45"/>
  <c r="F78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D493" i="38"/>
  <c r="E493" i="38"/>
  <c r="G493" i="38"/>
  <c r="H493" i="38"/>
  <c r="K493" i="38"/>
  <c r="L493" i="38" s="1"/>
  <c r="M493" i="38"/>
  <c r="U493" i="38" s="1"/>
  <c r="S493" i="38"/>
  <c r="F149" i="25"/>
  <c r="H149" i="25"/>
  <c r="G149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9" i="43"/>
  <c r="H49" i="43"/>
  <c r="G49" i="43"/>
  <c r="F61" i="58"/>
  <c r="H61" i="58"/>
  <c r="G6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48" i="25"/>
  <c r="H148" i="25"/>
  <c r="G148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47" i="25"/>
  <c r="H147" i="25"/>
  <c r="G147" i="25"/>
  <c r="K20" i="25"/>
  <c r="H112" i="81"/>
  <c r="G112" i="81"/>
  <c r="F112" i="81"/>
  <c r="H111" i="81"/>
  <c r="G111" i="81"/>
  <c r="F111" i="81"/>
  <c r="K90" i="81"/>
  <c r="F90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46" i="25"/>
  <c r="H146" i="25"/>
  <c r="G146" i="25"/>
  <c r="K19" i="25"/>
  <c r="M97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45" i="25"/>
  <c r="H145" i="25"/>
  <c r="G145" i="25"/>
  <c r="K18" i="25"/>
  <c r="F144" i="25"/>
  <c r="H144" i="25"/>
  <c r="G144" i="25"/>
  <c r="K17" i="25"/>
  <c r="P486" i="38" l="1"/>
  <c r="N486" i="38"/>
  <c r="F143" i="25"/>
  <c r="G143" i="25"/>
  <c r="H143" i="25"/>
  <c r="F35" i="46"/>
  <c r="G35" i="46"/>
  <c r="H35" i="46"/>
  <c r="F84" i="40"/>
  <c r="H84" i="40"/>
  <c r="G84" i="40"/>
  <c r="F30" i="70"/>
  <c r="H30" i="70"/>
  <c r="G30" i="70"/>
  <c r="F89" i="51"/>
  <c r="G89" i="51"/>
  <c r="H89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C85" i="85"/>
  <c r="F85" i="85"/>
  <c r="H85" i="85"/>
  <c r="F19" i="85"/>
  <c r="C19" i="85"/>
  <c r="H19" i="85"/>
  <c r="M85" i="85"/>
  <c r="M19" i="85"/>
  <c r="K85" i="85"/>
  <c r="K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6" i="84"/>
  <c r="K106" i="84"/>
  <c r="H106" i="84"/>
  <c r="F106" i="84"/>
  <c r="C106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K85" i="83"/>
  <c r="C19" i="83"/>
  <c r="F19" i="83"/>
  <c r="M85" i="83"/>
  <c r="M107" i="84"/>
  <c r="F85" i="83"/>
  <c r="H25" i="84"/>
  <c r="F25" i="84"/>
  <c r="M19" i="83"/>
  <c r="C85" i="83"/>
  <c r="F107" i="84"/>
  <c r="H107" i="84"/>
  <c r="C107" i="84"/>
  <c r="K19" i="83"/>
  <c r="C25" i="84"/>
  <c r="K107" i="84"/>
  <c r="H85" i="83"/>
  <c r="M25" i="84"/>
  <c r="H19" i="83"/>
  <c r="O484" i="38" l="1"/>
  <c r="Z484" i="38"/>
  <c r="Q5" i="85"/>
  <c r="Q3" i="85"/>
  <c r="Q6" i="85" s="1"/>
  <c r="Q7" i="85"/>
  <c r="M88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0" i="58"/>
  <c r="G60" i="58"/>
  <c r="H60" i="58"/>
  <c r="F88" i="51"/>
  <c r="G88" i="51"/>
  <c r="H88" i="51"/>
  <c r="K42" i="54"/>
  <c r="F42" i="54"/>
  <c r="H100" i="54"/>
  <c r="G100" i="54"/>
  <c r="F100" i="54"/>
  <c r="H99" i="54"/>
  <c r="G99" i="54"/>
  <c r="F99" i="54"/>
  <c r="F142" i="25"/>
  <c r="G142" i="25"/>
  <c r="H142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M18" i="74"/>
  <c r="M60" i="82"/>
  <c r="C60" i="82"/>
  <c r="F19" i="82"/>
  <c r="C19" i="82"/>
  <c r="H19" i="82"/>
  <c r="K60" i="82"/>
  <c r="H18" i="74"/>
  <c r="F60" i="82"/>
  <c r="M19" i="82"/>
  <c r="H60" i="82"/>
  <c r="C18" i="74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34" i="46"/>
  <c r="G34" i="46"/>
  <c r="H34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41" i="25"/>
  <c r="G141" i="25"/>
  <c r="H141" i="25"/>
  <c r="K15" i="25"/>
  <c r="F29" i="78"/>
  <c r="H29" i="78"/>
  <c r="G29" i="78"/>
  <c r="F29" i="70"/>
  <c r="H29" i="70"/>
  <c r="G29" i="70"/>
  <c r="K5" i="51"/>
  <c r="F6" i="70"/>
  <c r="F140" i="25"/>
  <c r="H140" i="25"/>
  <c r="G140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09" i="46"/>
  <c r="G109" i="46"/>
  <c r="F109" i="46"/>
  <c r="H108" i="46"/>
  <c r="G108" i="46"/>
  <c r="F108" i="46"/>
  <c r="H107" i="46"/>
  <c r="G107" i="46"/>
  <c r="F107" i="46"/>
  <c r="H106" i="46"/>
  <c r="G106" i="46"/>
  <c r="F106" i="46"/>
  <c r="H105" i="46"/>
  <c r="G105" i="46"/>
  <c r="F105" i="46"/>
  <c r="H104" i="46"/>
  <c r="G104" i="46"/>
  <c r="F104" i="46"/>
  <c r="H103" i="46"/>
  <c r="G103" i="46"/>
  <c r="F103" i="46"/>
  <c r="H102" i="46"/>
  <c r="G102" i="46"/>
  <c r="F102" i="46"/>
  <c r="H101" i="46"/>
  <c r="G101" i="46"/>
  <c r="F101" i="46"/>
  <c r="H100" i="46"/>
  <c r="G100" i="46"/>
  <c r="F100" i="46"/>
  <c r="H99" i="46"/>
  <c r="G99" i="46"/>
  <c r="F99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59" i="58"/>
  <c r="G59" i="58"/>
  <c r="H5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39" i="25"/>
  <c r="H139" i="25"/>
  <c r="G139" i="25"/>
  <c r="K14" i="25"/>
  <c r="F96" i="31"/>
  <c r="C78" i="75"/>
  <c r="H96" i="31"/>
  <c r="C96" i="31"/>
  <c r="F78" i="75"/>
  <c r="K78" i="75"/>
  <c r="K96" i="31"/>
  <c r="H78" i="75"/>
  <c r="M78" i="75"/>
  <c r="M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58" i="58"/>
  <c r="G58" i="58"/>
  <c r="H58" i="58"/>
  <c r="F14" i="58"/>
  <c r="H18" i="64"/>
  <c r="F36" i="64"/>
  <c r="G36" i="64"/>
  <c r="H36" i="64"/>
  <c r="K85" i="64"/>
  <c r="H19" i="64"/>
  <c r="H85" i="64"/>
  <c r="M19" i="64"/>
  <c r="M85" i="64"/>
  <c r="K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48" i="43"/>
  <c r="H48" i="43"/>
  <c r="G48" i="43"/>
  <c r="K3" i="43"/>
  <c r="F138" i="25"/>
  <c r="H138" i="25"/>
  <c r="G138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6" i="81"/>
  <c r="K106" i="81"/>
  <c r="H106" i="81"/>
  <c r="F106" i="81"/>
  <c r="C106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29" i="81"/>
  <c r="F27" i="63"/>
  <c r="G27" i="63"/>
  <c r="H27" i="63"/>
  <c r="M107" i="81"/>
  <c r="H107" i="81"/>
  <c r="C107" i="81"/>
  <c r="M30" i="81"/>
  <c r="K107" i="81"/>
  <c r="F30" i="81"/>
  <c r="F107" i="81"/>
  <c r="H30" i="81"/>
  <c r="O468" i="38" l="1"/>
  <c r="Z468" i="38"/>
  <c r="M88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37" i="25"/>
  <c r="H137" i="25"/>
  <c r="G137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F19" i="80"/>
  <c r="H19" i="80"/>
  <c r="F85" i="80"/>
  <c r="C19" i="80"/>
  <c r="H85" i="80"/>
  <c r="C85" i="80"/>
  <c r="K85" i="80"/>
  <c r="M19" i="80"/>
  <c r="M85" i="80"/>
  <c r="K19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D463" i="38"/>
  <c r="E463" i="38"/>
  <c r="G463" i="38"/>
  <c r="H463" i="38"/>
  <c r="K463" i="38"/>
  <c r="L463" i="38" s="1"/>
  <c r="M463" i="38"/>
  <c r="N463" i="38" s="1"/>
  <c r="S463" i="38"/>
  <c r="H65" i="79"/>
  <c r="C65" i="79"/>
  <c r="M65" i="79"/>
  <c r="K19" i="79"/>
  <c r="F65" i="79"/>
  <c r="H19" i="79"/>
  <c r="K65" i="79"/>
  <c r="C19" i="79"/>
  <c r="F19" i="79"/>
  <c r="M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36" i="25"/>
  <c r="G136" i="25"/>
  <c r="H136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35" i="25"/>
  <c r="H135" i="25"/>
  <c r="G135" i="25"/>
  <c r="F39" i="25"/>
  <c r="K12" i="25"/>
  <c r="H13" i="40"/>
  <c r="H29" i="40" s="1"/>
  <c r="O458" i="38" l="1"/>
  <c r="Z458" i="38"/>
  <c r="P457" i="38"/>
  <c r="N457" i="38"/>
  <c r="F47" i="43"/>
  <c r="G47" i="43"/>
  <c r="H47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7" i="58"/>
  <c r="H57" i="58"/>
  <c r="G5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34" i="25"/>
  <c r="G134" i="25"/>
  <c r="H134" i="25"/>
  <c r="K11" i="25"/>
  <c r="K103" i="7"/>
  <c r="F83" i="51"/>
  <c r="G83" i="51"/>
  <c r="H83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33" i="25"/>
  <c r="H133" i="25"/>
  <c r="G133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6" i="58"/>
  <c r="H56" i="58"/>
  <c r="G56" i="58"/>
  <c r="F11" i="58"/>
  <c r="D451" i="38" l="1"/>
  <c r="E451" i="38"/>
  <c r="G451" i="38"/>
  <c r="H451" i="38"/>
  <c r="K451" i="38"/>
  <c r="L451" i="38" s="1"/>
  <c r="M451" i="38"/>
  <c r="N451" i="38" s="1"/>
  <c r="S451" i="38"/>
  <c r="F55" i="58"/>
  <c r="H55" i="58"/>
  <c r="G55" i="58"/>
  <c r="F54" i="58"/>
  <c r="H54" i="58"/>
  <c r="G5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46" i="43"/>
  <c r="G46" i="43"/>
  <c r="H46" i="43"/>
  <c r="F132" i="25"/>
  <c r="G132" i="25"/>
  <c r="H132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3" i="58"/>
  <c r="H53" i="58"/>
  <c r="G5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C85" i="78"/>
  <c r="H85" i="78"/>
  <c r="K85" i="78"/>
  <c r="M19" i="78"/>
  <c r="H19" i="78"/>
  <c r="K19" i="78"/>
  <c r="F85" i="78"/>
  <c r="M85" i="78"/>
  <c r="C19" i="78"/>
  <c r="F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F52" i="58"/>
  <c r="G52" i="58"/>
  <c r="H5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1" i="58"/>
  <c r="H51" i="58"/>
  <c r="G51" i="58"/>
  <c r="F45" i="43"/>
  <c r="H45" i="43"/>
  <c r="G45" i="43"/>
  <c r="F8" i="43"/>
  <c r="K2" i="43"/>
  <c r="F8" i="58"/>
  <c r="K22" i="43"/>
  <c r="Z442" i="38" l="1"/>
  <c r="O442" i="38"/>
  <c r="O443" i="38"/>
  <c r="Z443" i="38"/>
  <c r="K21" i="43"/>
  <c r="P442" i="38"/>
  <c r="U442" i="38"/>
  <c r="M96" i="25"/>
  <c r="F131" i="25"/>
  <c r="H131" i="25"/>
  <c r="G131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0" i="58"/>
  <c r="H50" i="58"/>
  <c r="G5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H89" i="77"/>
  <c r="H19" i="77"/>
  <c r="K89" i="77"/>
  <c r="C89" i="77"/>
  <c r="M89" i="77"/>
  <c r="F19" i="77"/>
  <c r="F89" i="77"/>
  <c r="C19" i="77"/>
  <c r="M1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30" i="25"/>
  <c r="H130" i="25"/>
  <c r="G130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29" i="25"/>
  <c r="H129" i="25"/>
  <c r="G129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28" i="25"/>
  <c r="H128" i="25"/>
  <c r="G128" i="25"/>
  <c r="F33" i="25"/>
  <c r="F266" i="7"/>
  <c r="H266" i="7"/>
  <c r="G266" i="7"/>
  <c r="K102" i="7"/>
  <c r="G23" i="50"/>
  <c r="K23" i="50" s="1"/>
  <c r="F23" i="50"/>
  <c r="M18" i="50"/>
  <c r="C18" i="50"/>
  <c r="F18" i="50"/>
  <c r="F127" i="25"/>
  <c r="H127" i="25"/>
  <c r="G127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26" i="25"/>
  <c r="H126" i="25"/>
  <c r="G126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49" i="58"/>
  <c r="H49" i="58"/>
  <c r="G4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25" i="25"/>
  <c r="H125" i="25"/>
  <c r="G125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4" i="43"/>
  <c r="H44" i="43"/>
  <c r="G44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24" i="25"/>
  <c r="H124" i="25"/>
  <c r="G124" i="25"/>
  <c r="K8" i="25"/>
  <c r="P416" i="38" l="1"/>
  <c r="N416" i="38"/>
  <c r="F43" i="43"/>
  <c r="H43" i="43"/>
  <c r="G43" i="43"/>
  <c r="F48" i="58"/>
  <c r="H48" i="58"/>
  <c r="G48" i="58"/>
  <c r="F77" i="40"/>
  <c r="G77" i="40"/>
  <c r="H77" i="40"/>
  <c r="F78" i="51"/>
  <c r="G78" i="51"/>
  <c r="H78" i="51"/>
  <c r="F261" i="7"/>
  <c r="H261" i="7"/>
  <c r="G261" i="7"/>
  <c r="F123" i="25"/>
  <c r="H123" i="25"/>
  <c r="G123" i="25"/>
  <c r="O416" i="38" l="1"/>
  <c r="Z416" i="38"/>
  <c r="E415" i="38"/>
  <c r="H415" i="38"/>
  <c r="K415" i="38"/>
  <c r="L415" i="38" s="1"/>
  <c r="P415" i="38" s="1"/>
  <c r="M415" i="38"/>
  <c r="U415" i="38" s="1"/>
  <c r="S415" i="38"/>
  <c r="F122" i="25"/>
  <c r="H122" i="25"/>
  <c r="G122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7" i="58"/>
  <c r="H47" i="58"/>
  <c r="G4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2" i="43"/>
  <c r="H42" i="43"/>
  <c r="G42" i="43"/>
  <c r="F46" i="58"/>
  <c r="H46" i="58"/>
  <c r="G4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21" i="25"/>
  <c r="H121" i="25"/>
  <c r="G121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C77" i="69"/>
  <c r="F77" i="69"/>
  <c r="M77" i="69"/>
  <c r="K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41" i="43"/>
  <c r="H41" i="43"/>
  <c r="G41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20" i="25"/>
  <c r="H120" i="25"/>
  <c r="G120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K19" i="76"/>
  <c r="C19" i="76"/>
  <c r="H19" i="76"/>
  <c r="F19" i="76"/>
  <c r="M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19" i="25"/>
  <c r="H119" i="25"/>
  <c r="G119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5" i="58"/>
  <c r="H45" i="58"/>
  <c r="G4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0" i="43"/>
  <c r="H40" i="43"/>
  <c r="G40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18" i="25"/>
  <c r="G118" i="25"/>
  <c r="H118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17" i="25"/>
  <c r="H117" i="25"/>
  <c r="G117" i="25"/>
  <c r="K6" i="25"/>
  <c r="O390" i="38" l="1"/>
  <c r="Z390" i="38"/>
  <c r="N389" i="38"/>
  <c r="P389" i="38"/>
  <c r="F116" i="25"/>
  <c r="G116" i="25"/>
  <c r="H116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15" i="25"/>
  <c r="G115" i="25"/>
  <c r="H115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14" i="25"/>
  <c r="G114" i="25"/>
  <c r="H114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13" i="25"/>
  <c r="G113" i="25"/>
  <c r="H113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4" i="58"/>
  <c r="G44" i="58"/>
  <c r="H4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76" i="45"/>
  <c r="F76" i="45"/>
  <c r="F425" i="17"/>
  <c r="K424" i="17"/>
  <c r="F424" i="17"/>
  <c r="K423" i="17"/>
  <c r="F423" i="17"/>
  <c r="K422" i="17"/>
  <c r="F422" i="17"/>
  <c r="K421" i="17"/>
  <c r="F421" i="17"/>
  <c r="K420" i="17"/>
  <c r="F420" i="17"/>
  <c r="F112" i="25"/>
  <c r="G112" i="25"/>
  <c r="H112" i="25"/>
  <c r="F43" i="58"/>
  <c r="G43" i="58"/>
  <c r="H43" i="58"/>
  <c r="F76" i="51"/>
  <c r="G76" i="51"/>
  <c r="H76" i="51"/>
  <c r="F39" i="43"/>
  <c r="G39" i="43"/>
  <c r="H39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32" i="58" l="1"/>
  <c r="O379" i="38"/>
  <c r="O380" i="38"/>
  <c r="Z379" i="38"/>
  <c r="Z380" i="38"/>
  <c r="Q2" i="40"/>
  <c r="P379" i="38"/>
  <c r="U379" i="38"/>
  <c r="F42" i="58"/>
  <c r="G42" i="58"/>
  <c r="H42" i="58"/>
  <c r="F70" i="40"/>
  <c r="G70" i="40"/>
  <c r="H70" i="40"/>
  <c r="F15" i="40"/>
  <c r="F75" i="51"/>
  <c r="G75" i="51"/>
  <c r="H75" i="51"/>
  <c r="F249" i="7"/>
  <c r="G249" i="7"/>
  <c r="H249" i="7"/>
  <c r="F111" i="25"/>
  <c r="G111" i="25"/>
  <c r="H111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10" i="25"/>
  <c r="G110" i="25"/>
  <c r="H110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09" i="25"/>
  <c r="G109" i="25"/>
  <c r="H109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08" i="25"/>
  <c r="G108" i="25"/>
  <c r="H108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07" i="25"/>
  <c r="H107" i="25"/>
  <c r="G107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06" i="25"/>
  <c r="G106" i="25"/>
  <c r="H106" i="25"/>
  <c r="E372" i="38"/>
  <c r="H372" i="38"/>
  <c r="K372" i="38"/>
  <c r="L372" i="38" s="1"/>
  <c r="M372" i="38"/>
  <c r="U372" i="38" s="1"/>
  <c r="S372" i="38"/>
  <c r="N372" i="38" l="1"/>
  <c r="P372" i="38"/>
  <c r="F105" i="25"/>
  <c r="G105" i="25"/>
  <c r="H105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04" i="25"/>
  <c r="G104" i="25"/>
  <c r="H104" i="25"/>
  <c r="F21" i="25"/>
  <c r="F73" i="51"/>
  <c r="G73" i="51"/>
  <c r="H73" i="51"/>
  <c r="F11" i="51"/>
  <c r="F10" i="51"/>
  <c r="F9" i="51"/>
  <c r="H93" i="68"/>
  <c r="F93" i="68"/>
  <c r="C93" i="68"/>
  <c r="M93" i="68"/>
  <c r="K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03" i="25"/>
  <c r="G103" i="25"/>
  <c r="H103" i="25"/>
  <c r="K2" i="25"/>
  <c r="K96" i="25" s="1"/>
  <c r="K97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02" i="25"/>
  <c r="G102" i="25"/>
  <c r="H102" i="25"/>
  <c r="F20" i="25"/>
  <c r="F71" i="51"/>
  <c r="G71" i="51"/>
  <c r="H71" i="51"/>
  <c r="F7" i="51"/>
  <c r="P364" i="38" l="1"/>
  <c r="N364" i="38"/>
  <c r="H101" i="25"/>
  <c r="G101" i="25"/>
  <c r="F101" i="25"/>
  <c r="M789" i="25"/>
  <c r="H789" i="25"/>
  <c r="C789" i="25"/>
  <c r="F765" i="25"/>
  <c r="F764" i="25"/>
  <c r="F763" i="25"/>
  <c r="F762" i="25"/>
  <c r="F761" i="25"/>
  <c r="F760" i="25"/>
  <c r="F759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K736" i="25"/>
  <c r="F736" i="25"/>
  <c r="K735" i="25"/>
  <c r="F735" i="25"/>
  <c r="K734" i="25"/>
  <c r="F734" i="25"/>
  <c r="K733" i="25"/>
  <c r="F733" i="25"/>
  <c r="K732" i="25"/>
  <c r="F732" i="25"/>
  <c r="K731" i="25"/>
  <c r="F731" i="25"/>
  <c r="K730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F671" i="25"/>
  <c r="F670" i="25"/>
  <c r="F669" i="25"/>
  <c r="K668" i="25"/>
  <c r="F668" i="25"/>
  <c r="F667" i="25"/>
  <c r="F666" i="25"/>
  <c r="F665" i="25"/>
  <c r="F664" i="25"/>
  <c r="F663" i="25"/>
  <c r="F662" i="25"/>
  <c r="F661" i="25"/>
  <c r="F660" i="25"/>
  <c r="F659" i="25"/>
  <c r="F658" i="25"/>
  <c r="F657" i="25"/>
  <c r="F656" i="25"/>
  <c r="F655" i="25"/>
  <c r="F654" i="25"/>
  <c r="F653" i="25"/>
  <c r="F652" i="25"/>
  <c r="F651" i="25"/>
  <c r="F650" i="25"/>
  <c r="F649" i="25"/>
  <c r="F648" i="25"/>
  <c r="F647" i="25"/>
  <c r="F646" i="25"/>
  <c r="F645" i="25"/>
  <c r="F644" i="25"/>
  <c r="F643" i="25"/>
  <c r="F642" i="25"/>
  <c r="F641" i="25"/>
  <c r="F640" i="25"/>
  <c r="F639" i="25"/>
  <c r="F638" i="25"/>
  <c r="F637" i="25"/>
  <c r="F636" i="25"/>
  <c r="F635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74" i="45"/>
  <c r="F74" i="45"/>
  <c r="K73" i="45"/>
  <c r="F73" i="45"/>
  <c r="K72" i="45"/>
  <c r="F72" i="45"/>
  <c r="F41" i="58"/>
  <c r="G41" i="58"/>
  <c r="H4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K790" i="25"/>
  <c r="M790" i="25"/>
  <c r="H790" i="25"/>
  <c r="C790" i="25"/>
  <c r="F790" i="25"/>
  <c r="O364" i="38" l="1"/>
  <c r="Z364" i="38"/>
  <c r="N363" i="38"/>
  <c r="F789" i="25"/>
  <c r="K789" i="25"/>
  <c r="P363" i="38"/>
  <c r="O363" i="38" l="1"/>
  <c r="Z363" i="38"/>
  <c r="M526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84" i="43"/>
  <c r="H84" i="43"/>
  <c r="C84" i="43"/>
  <c r="P24" i="43"/>
  <c r="P23" i="43"/>
  <c r="P22" i="43"/>
  <c r="P21" i="43"/>
  <c r="P20" i="43"/>
  <c r="P19" i="43"/>
  <c r="P18" i="43"/>
  <c r="K77" i="43"/>
  <c r="K84" i="43" s="1"/>
  <c r="F77" i="43"/>
  <c r="F84" i="43" s="1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H27" i="43"/>
  <c r="G27" i="43"/>
  <c r="F27" i="43"/>
  <c r="H26" i="43"/>
  <c r="G26" i="43"/>
  <c r="F26" i="43"/>
  <c r="H25" i="43"/>
  <c r="G25" i="43"/>
  <c r="F25" i="43"/>
  <c r="C21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61" i="53"/>
  <c r="P60" i="53"/>
  <c r="P59" i="53"/>
  <c r="P58" i="53"/>
  <c r="P57" i="53"/>
  <c r="P56" i="53"/>
  <c r="P55" i="53"/>
  <c r="P54" i="53"/>
  <c r="P53" i="53"/>
  <c r="P52" i="53"/>
  <c r="P51" i="53"/>
  <c r="P50" i="53"/>
  <c r="P49" i="53"/>
  <c r="P48" i="53"/>
  <c r="P47" i="53"/>
  <c r="P46" i="53"/>
  <c r="P45" i="53"/>
  <c r="P44" i="53"/>
  <c r="P43" i="53"/>
  <c r="P42" i="53"/>
  <c r="P41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95" i="46"/>
  <c r="H95" i="46"/>
  <c r="C95" i="46"/>
  <c r="P25" i="46"/>
  <c r="P24" i="46"/>
  <c r="P23" i="46"/>
  <c r="P22" i="46"/>
  <c r="P21" i="46"/>
  <c r="P20" i="46"/>
  <c r="P19" i="46"/>
  <c r="K85" i="46"/>
  <c r="K84" i="46"/>
  <c r="F84" i="46"/>
  <c r="K83" i="46"/>
  <c r="F83" i="46"/>
  <c r="H33" i="46"/>
  <c r="G33" i="46"/>
  <c r="F33" i="46"/>
  <c r="K29" i="46"/>
  <c r="H29" i="46"/>
  <c r="F29" i="46"/>
  <c r="C29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8" i="45"/>
  <c r="H98" i="45"/>
  <c r="C98" i="45"/>
  <c r="K70" i="45"/>
  <c r="F70" i="45"/>
  <c r="K69" i="45"/>
  <c r="F69" i="45"/>
  <c r="K68" i="45"/>
  <c r="F68" i="45"/>
  <c r="F67" i="45"/>
  <c r="K66" i="45"/>
  <c r="F66" i="45"/>
  <c r="K65" i="45"/>
  <c r="F65" i="45"/>
  <c r="K64" i="45"/>
  <c r="F64" i="45"/>
  <c r="K63" i="45"/>
  <c r="F63" i="45"/>
  <c r="K62" i="45"/>
  <c r="F62" i="45"/>
  <c r="K61" i="45"/>
  <c r="F61" i="45"/>
  <c r="K60" i="45"/>
  <c r="F60" i="45"/>
  <c r="F59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77" i="58"/>
  <c r="H177" i="58"/>
  <c r="C177" i="58"/>
  <c r="K168" i="58"/>
  <c r="F168" i="58"/>
  <c r="K167" i="58"/>
  <c r="F167" i="58"/>
  <c r="K161" i="58"/>
  <c r="F161" i="58"/>
  <c r="H151" i="58"/>
  <c r="G151" i="58"/>
  <c r="F151" i="58"/>
  <c r="H150" i="58"/>
  <c r="G150" i="58"/>
  <c r="F150" i="58"/>
  <c r="H149" i="58"/>
  <c r="G149" i="58"/>
  <c r="F149" i="58"/>
  <c r="H148" i="58"/>
  <c r="G148" i="58"/>
  <c r="F148" i="58"/>
  <c r="H147" i="58"/>
  <c r="G147" i="58"/>
  <c r="F147" i="58"/>
  <c r="H146" i="58"/>
  <c r="G146" i="58"/>
  <c r="F146" i="58"/>
  <c r="H145" i="58"/>
  <c r="G145" i="58"/>
  <c r="F145" i="58"/>
  <c r="H144" i="58"/>
  <c r="G144" i="58"/>
  <c r="F144" i="58"/>
  <c r="H143" i="58"/>
  <c r="G143" i="58"/>
  <c r="F143" i="58"/>
  <c r="H142" i="58"/>
  <c r="G142" i="58"/>
  <c r="F142" i="58"/>
  <c r="H141" i="58"/>
  <c r="G141" i="58"/>
  <c r="F141" i="58"/>
  <c r="H140" i="58"/>
  <c r="G140" i="58"/>
  <c r="F140" i="58"/>
  <c r="H139" i="58"/>
  <c r="G139" i="58"/>
  <c r="F139" i="58"/>
  <c r="H138" i="58"/>
  <c r="G138" i="58"/>
  <c r="F138" i="58"/>
  <c r="H137" i="58"/>
  <c r="G137" i="58"/>
  <c r="F137" i="58"/>
  <c r="P37" i="58"/>
  <c r="H136" i="58"/>
  <c r="G136" i="58"/>
  <c r="F136" i="58"/>
  <c r="P36" i="58"/>
  <c r="H135" i="58"/>
  <c r="G135" i="58"/>
  <c r="F135" i="58"/>
  <c r="P35" i="58"/>
  <c r="H134" i="58"/>
  <c r="G134" i="58"/>
  <c r="F134" i="58"/>
  <c r="P34" i="58"/>
  <c r="H133" i="58"/>
  <c r="G133" i="58"/>
  <c r="F133" i="58"/>
  <c r="P33" i="58"/>
  <c r="P32" i="58"/>
  <c r="P31" i="58"/>
  <c r="P30" i="58"/>
  <c r="H129" i="58"/>
  <c r="G129" i="58"/>
  <c r="F129" i="58"/>
  <c r="P29" i="58"/>
  <c r="H128" i="58"/>
  <c r="G128" i="58"/>
  <c r="F128" i="58"/>
  <c r="P28" i="58"/>
  <c r="H127" i="58"/>
  <c r="G127" i="58"/>
  <c r="F127" i="58"/>
  <c r="P27" i="58"/>
  <c r="H126" i="58"/>
  <c r="G126" i="58"/>
  <c r="F126" i="58"/>
  <c r="P26" i="58"/>
  <c r="H125" i="58"/>
  <c r="G125" i="58"/>
  <c r="F125" i="58"/>
  <c r="P25" i="58"/>
  <c r="H124" i="58"/>
  <c r="G124" i="58"/>
  <c r="F124" i="58"/>
  <c r="P24" i="58"/>
  <c r="H123" i="58"/>
  <c r="G123" i="58"/>
  <c r="F123" i="58"/>
  <c r="P23" i="58"/>
  <c r="H122" i="58"/>
  <c r="G122" i="58"/>
  <c r="F122" i="58"/>
  <c r="P22" i="58"/>
  <c r="H121" i="58"/>
  <c r="G121" i="58"/>
  <c r="F121" i="58"/>
  <c r="P21" i="58"/>
  <c r="H120" i="58"/>
  <c r="G120" i="58"/>
  <c r="F120" i="58"/>
  <c r="P20" i="58"/>
  <c r="H119" i="58"/>
  <c r="G119" i="58"/>
  <c r="F119" i="58"/>
  <c r="P19" i="58"/>
  <c r="H118" i="58"/>
  <c r="G118" i="58"/>
  <c r="F118" i="58"/>
  <c r="P18" i="58"/>
  <c r="H117" i="58"/>
  <c r="G117" i="58"/>
  <c r="F117" i="58"/>
  <c r="P17" i="58"/>
  <c r="H40" i="58"/>
  <c r="G40" i="58"/>
  <c r="F40" i="58"/>
  <c r="H39" i="58"/>
  <c r="G39" i="58"/>
  <c r="F39" i="58"/>
  <c r="H38" i="58"/>
  <c r="G38" i="58"/>
  <c r="F38" i="58"/>
  <c r="H37" i="58"/>
  <c r="G37" i="58"/>
  <c r="F37" i="58"/>
  <c r="M32" i="58"/>
  <c r="F2" i="58"/>
  <c r="F3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85" i="51"/>
  <c r="H288" i="51"/>
  <c r="C288" i="51"/>
  <c r="F282" i="51"/>
  <c r="F281" i="51"/>
  <c r="F280" i="51"/>
  <c r="K279" i="51"/>
  <c r="F279" i="51"/>
  <c r="K278" i="51"/>
  <c r="F278" i="51"/>
  <c r="K277" i="51"/>
  <c r="F277" i="51"/>
  <c r="K276" i="51"/>
  <c r="F276" i="51"/>
  <c r="K275" i="51"/>
  <c r="F275" i="51"/>
  <c r="K274" i="51"/>
  <c r="F274" i="51"/>
  <c r="K273" i="51"/>
  <c r="F273" i="51"/>
  <c r="K272" i="51"/>
  <c r="F272" i="51"/>
  <c r="K271" i="51"/>
  <c r="F271" i="51"/>
  <c r="K270" i="51"/>
  <c r="F270" i="51"/>
  <c r="K269" i="51"/>
  <c r="F269" i="51"/>
  <c r="K268" i="51"/>
  <c r="F268" i="51"/>
  <c r="K267" i="51"/>
  <c r="F267" i="51"/>
  <c r="K266" i="51"/>
  <c r="F266" i="51"/>
  <c r="K265" i="51"/>
  <c r="F265" i="51"/>
  <c r="K264" i="51"/>
  <c r="F264" i="51"/>
  <c r="F263" i="51"/>
  <c r="K262" i="51"/>
  <c r="F262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P43" i="51"/>
  <c r="H183" i="51"/>
  <c r="G183" i="51"/>
  <c r="F183" i="51"/>
  <c r="P42" i="51"/>
  <c r="H182" i="51"/>
  <c r="G182" i="51"/>
  <c r="F182" i="51"/>
  <c r="P41" i="51"/>
  <c r="H181" i="51"/>
  <c r="G181" i="51"/>
  <c r="F181" i="51"/>
  <c r="P40" i="51"/>
  <c r="H180" i="51"/>
  <c r="G180" i="51"/>
  <c r="F180" i="51"/>
  <c r="P39" i="51"/>
  <c r="H179" i="51"/>
  <c r="G179" i="51"/>
  <c r="F179" i="51"/>
  <c r="P38" i="51"/>
  <c r="H178" i="51"/>
  <c r="G178" i="51"/>
  <c r="F178" i="51"/>
  <c r="P37" i="51"/>
  <c r="H177" i="51"/>
  <c r="G177" i="51"/>
  <c r="F177" i="51"/>
  <c r="P36" i="51"/>
  <c r="H176" i="51"/>
  <c r="G176" i="51"/>
  <c r="F176" i="51"/>
  <c r="P35" i="51"/>
  <c r="H175" i="51"/>
  <c r="G175" i="51"/>
  <c r="F175" i="51"/>
  <c r="P34" i="51"/>
  <c r="H174" i="51"/>
  <c r="G174" i="51"/>
  <c r="F174" i="51"/>
  <c r="P33" i="51"/>
  <c r="H173" i="51"/>
  <c r="G173" i="51"/>
  <c r="F173" i="51"/>
  <c r="P32" i="51"/>
  <c r="H172" i="51"/>
  <c r="G172" i="51"/>
  <c r="F172" i="51"/>
  <c r="P31" i="51"/>
  <c r="H171" i="51"/>
  <c r="G171" i="51"/>
  <c r="F171" i="51"/>
  <c r="P30" i="51"/>
  <c r="H170" i="51"/>
  <c r="G170" i="51"/>
  <c r="F170" i="51"/>
  <c r="P29" i="51"/>
  <c r="H169" i="51"/>
  <c r="G169" i="51"/>
  <c r="F169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F5" i="51"/>
  <c r="F4" i="51"/>
  <c r="F3" i="51"/>
  <c r="K2" i="51"/>
  <c r="F2" i="51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H272" i="25"/>
  <c r="G272" i="25"/>
  <c r="H271" i="25"/>
  <c r="G271" i="25"/>
  <c r="H270" i="25"/>
  <c r="G270" i="25"/>
  <c r="H269" i="25"/>
  <c r="G269" i="25"/>
  <c r="H268" i="25"/>
  <c r="G268" i="25"/>
  <c r="H267" i="25"/>
  <c r="G267" i="25"/>
  <c r="H96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61" i="69"/>
  <c r="P60" i="69"/>
  <c r="P59" i="69"/>
  <c r="P58" i="69"/>
  <c r="P57" i="69"/>
  <c r="P56" i="69"/>
  <c r="P55" i="69"/>
  <c r="P54" i="69"/>
  <c r="P53" i="69"/>
  <c r="P52" i="69"/>
  <c r="P51" i="69"/>
  <c r="P50" i="69"/>
  <c r="P49" i="69"/>
  <c r="P48" i="69"/>
  <c r="P47" i="69"/>
  <c r="P46" i="69"/>
  <c r="P45" i="69"/>
  <c r="P44" i="69"/>
  <c r="P43" i="69"/>
  <c r="P42" i="69"/>
  <c r="P41" i="69"/>
  <c r="M18" i="69"/>
  <c r="H18" i="69"/>
  <c r="Q11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18" i="74"/>
  <c r="F23" i="57"/>
  <c r="F23" i="17"/>
  <c r="C67" i="60"/>
  <c r="K19" i="59"/>
  <c r="F19" i="64"/>
  <c r="C33" i="58"/>
  <c r="C81" i="61"/>
  <c r="M72" i="59"/>
  <c r="F19" i="59"/>
  <c r="M65" i="63"/>
  <c r="C19" i="52"/>
  <c r="H19" i="72"/>
  <c r="C213" i="57"/>
  <c r="K19" i="41"/>
  <c r="M156" i="49"/>
  <c r="C19" i="70"/>
  <c r="M86" i="53"/>
  <c r="F119" i="7"/>
  <c r="F90" i="72"/>
  <c r="C23" i="57"/>
  <c r="K65" i="71"/>
  <c r="F99" i="45"/>
  <c r="M23" i="17"/>
  <c r="F19" i="50"/>
  <c r="H213" i="57"/>
  <c r="H19" i="69"/>
  <c r="C19" i="64"/>
  <c r="F63" i="66"/>
  <c r="F33" i="58"/>
  <c r="F94" i="52"/>
  <c r="C19" i="69"/>
  <c r="F156" i="49"/>
  <c r="F19" i="66"/>
  <c r="H19" i="59"/>
  <c r="M63" i="66"/>
  <c r="F19" i="69"/>
  <c r="M25" i="31"/>
  <c r="M19" i="66"/>
  <c r="K19" i="75"/>
  <c r="M19" i="75"/>
  <c r="C19" i="61"/>
  <c r="M75" i="41"/>
  <c r="C19" i="54"/>
  <c r="C19" i="63"/>
  <c r="M19" i="3"/>
  <c r="F86" i="53"/>
  <c r="C75" i="41"/>
  <c r="K19" i="71"/>
  <c r="F19" i="61"/>
  <c r="C19" i="59"/>
  <c r="K19" i="69"/>
  <c r="M19" i="59"/>
  <c r="M94" i="52"/>
  <c r="F100" i="34"/>
  <c r="F19" i="71"/>
  <c r="K23" i="17"/>
  <c r="F77" i="70"/>
  <c r="K19" i="50"/>
  <c r="M19" i="61"/>
  <c r="H19" i="3"/>
  <c r="F97" i="25"/>
  <c r="K19" i="53"/>
  <c r="M19" i="52"/>
  <c r="K19" i="54"/>
  <c r="H19" i="41"/>
  <c r="C19" i="53"/>
  <c r="M213" i="57"/>
  <c r="F19" i="60"/>
  <c r="H97" i="25"/>
  <c r="K94" i="52"/>
  <c r="F19" i="70"/>
  <c r="H19" i="52"/>
  <c r="H19" i="68"/>
  <c r="C19" i="71"/>
  <c r="C100" i="34"/>
  <c r="C178" i="58"/>
  <c r="M30" i="49"/>
  <c r="C23" i="17"/>
  <c r="F19" i="53"/>
  <c r="F19" i="55"/>
  <c r="K19" i="70"/>
  <c r="M19" i="73"/>
  <c r="H19" i="63"/>
  <c r="K18" i="74"/>
  <c r="F19" i="72"/>
  <c r="K63" i="66"/>
  <c r="M65" i="71"/>
  <c r="F19" i="68"/>
  <c r="K19" i="3"/>
  <c r="F67" i="60"/>
  <c r="K23" i="57"/>
  <c r="K19" i="60"/>
  <c r="C30" i="40"/>
  <c r="H77" i="70"/>
  <c r="H19" i="53"/>
  <c r="M19" i="50"/>
  <c r="H178" i="58"/>
  <c r="F19" i="52"/>
  <c r="M99" i="45"/>
  <c r="M19" i="55"/>
  <c r="K99" i="45"/>
  <c r="F72" i="59"/>
  <c r="F19" i="75"/>
  <c r="M58" i="51"/>
  <c r="H99" i="45"/>
  <c r="F55" i="50"/>
  <c r="K77" i="70"/>
  <c r="H119" i="7"/>
  <c r="C19" i="41"/>
  <c r="C19" i="62"/>
  <c r="H19" i="75"/>
  <c r="C19" i="45"/>
  <c r="H72" i="59"/>
  <c r="F19" i="62"/>
  <c r="H55" i="50"/>
  <c r="C25" i="31"/>
  <c r="F19" i="45"/>
  <c r="K72" i="59"/>
  <c r="H65" i="63"/>
  <c r="K90" i="72"/>
  <c r="H19" i="55"/>
  <c r="M19" i="34"/>
  <c r="F178" i="58"/>
  <c r="M19" i="54"/>
  <c r="M19" i="72"/>
  <c r="F213" i="57"/>
  <c r="K100" i="34"/>
  <c r="C99" i="45"/>
  <c r="C30" i="49"/>
  <c r="M19" i="45"/>
  <c r="C19" i="34"/>
  <c r="M30" i="40"/>
  <c r="C19" i="66"/>
  <c r="H65" i="71"/>
  <c r="C19" i="68"/>
  <c r="M19" i="70"/>
  <c r="K25" i="31"/>
  <c r="C86" i="53"/>
  <c r="M23" i="57"/>
  <c r="F19" i="41"/>
  <c r="F85" i="64"/>
  <c r="C97" i="25"/>
  <c r="K451" i="17"/>
  <c r="M77" i="70"/>
  <c r="M451" i="17"/>
  <c r="F51" i="54"/>
  <c r="M55" i="50"/>
  <c r="K33" i="58"/>
  <c r="M19" i="60"/>
  <c r="H94" i="52"/>
  <c r="M19" i="69"/>
  <c r="F22" i="43"/>
  <c r="C63" i="66"/>
  <c r="K55" i="50"/>
  <c r="H33" i="58"/>
  <c r="K19" i="68"/>
  <c r="H19" i="71"/>
  <c r="H19" i="60"/>
  <c r="C19" i="75"/>
  <c r="F451" i="17"/>
  <c r="K58" i="51"/>
  <c r="H86" i="53"/>
  <c r="K119" i="7"/>
  <c r="C94" i="52"/>
  <c r="C156" i="49"/>
  <c r="K30" i="40"/>
  <c r="H19" i="54"/>
  <c r="F30" i="40"/>
  <c r="M178" i="58"/>
  <c r="F81" i="61"/>
  <c r="H67" i="60"/>
  <c r="H156" i="49"/>
  <c r="F19" i="73"/>
  <c r="C55" i="50"/>
  <c r="C451" i="17"/>
  <c r="M67" i="60"/>
  <c r="K51" i="54"/>
  <c r="K19" i="63"/>
  <c r="K19" i="66"/>
  <c r="K19" i="72"/>
  <c r="K81" i="61"/>
  <c r="C119" i="7"/>
  <c r="K178" i="58"/>
  <c r="C90" i="72"/>
  <c r="H19" i="70"/>
  <c r="H30" i="40"/>
  <c r="H75" i="41"/>
  <c r="H81" i="61"/>
  <c r="C19" i="60"/>
  <c r="C19" i="73"/>
  <c r="H63" i="66"/>
  <c r="K213" i="57"/>
  <c r="K19" i="55"/>
  <c r="H19" i="34"/>
  <c r="K19" i="61"/>
  <c r="M19" i="68"/>
  <c r="C19" i="50"/>
  <c r="M19" i="71"/>
  <c r="F25" i="31"/>
  <c r="M51" i="54"/>
  <c r="H19" i="50"/>
  <c r="H90" i="72"/>
  <c r="C77" i="70"/>
  <c r="K19" i="62"/>
  <c r="H19" i="73"/>
  <c r="F58" i="51"/>
  <c r="M100" i="34"/>
  <c r="H19" i="62"/>
  <c r="H23" i="17"/>
  <c r="M19" i="63"/>
  <c r="C19" i="55"/>
  <c r="C51" i="54"/>
  <c r="K19" i="73"/>
  <c r="K65" i="63"/>
  <c r="M33" i="58"/>
  <c r="C19" i="3"/>
  <c r="F30" i="49"/>
  <c r="M81" i="61"/>
  <c r="F65" i="63"/>
  <c r="C19" i="72"/>
  <c r="F19" i="63"/>
  <c r="K19" i="52"/>
  <c r="M19" i="62"/>
  <c r="M19" i="53"/>
  <c r="C65" i="63"/>
  <c r="C72" i="59"/>
  <c r="K67" i="60"/>
  <c r="F19" i="34"/>
  <c r="K75" i="41"/>
  <c r="F19" i="54"/>
  <c r="H451" i="17"/>
  <c r="H100" i="34"/>
  <c r="K86" i="53"/>
  <c r="M119" i="7"/>
  <c r="M90" i="72"/>
  <c r="H51" i="54"/>
  <c r="C85" i="64"/>
  <c r="H25" i="31"/>
  <c r="K19" i="34"/>
  <c r="H19" i="61"/>
  <c r="F65" i="71"/>
  <c r="M19" i="41"/>
  <c r="H19" i="66"/>
  <c r="K156" i="49"/>
  <c r="C65" i="71"/>
  <c r="F75" i="41"/>
  <c r="F19" i="3"/>
  <c r="V698" i="38" l="1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7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96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49"/>
  <c r="F155" i="49"/>
  <c r="Q2" i="41"/>
  <c r="Q8" i="41" s="1"/>
  <c r="F177" i="58"/>
  <c r="K177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698" i="38" s="1"/>
  <c r="Y698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8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95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1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8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95" i="46"/>
  <c r="F51" i="24"/>
  <c r="F120" i="40"/>
  <c r="M75" i="43"/>
  <c r="Q10" i="43" s="1"/>
  <c r="F288" i="51"/>
  <c r="K288" i="51"/>
  <c r="Q2" i="44"/>
  <c r="Q3" i="44" s="1"/>
  <c r="Q6" i="44" s="1"/>
  <c r="Q2" i="32"/>
  <c r="Q8" i="32" s="1"/>
  <c r="F44" i="26"/>
  <c r="K44" i="26"/>
  <c r="Q2" i="71"/>
  <c r="M104" i="49"/>
  <c r="Q2" i="25"/>
  <c r="W695" i="38" l="1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698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7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59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81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57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689" i="38" l="1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5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6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7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4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5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6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7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8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4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5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6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7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8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0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5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3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4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5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6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57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8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9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60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61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62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3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4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5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6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7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68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<sst xmlns="http://schemas.openxmlformats.org/spreadsheetml/2006/main" count="7815" uniqueCount="1234">
  <si>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</si>
  <si>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</si>
  <si>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</si>
  <si>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</si>
  <si>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</si>
  <si>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</si>
  <si>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</si>
  <si>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</si>
  <si>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</si>
  <si>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</si>
  <si>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</si>
  <si>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</si>
  <si>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</si>
  <si>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</si>
  <si>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</si>
  <si>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</si>
  <si>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</si>
  <si>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</si>
  <si>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</si>
  <si>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</si>
  <si>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</si>
  <si>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</si>
  <si>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</si>
  <si>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</si>
  <si>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</si>
  <si>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</si>
  <si>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</si>
  <si>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</si>
  <si>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</si>
  <si>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</si>
  <si>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</si>
  <si>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</si>
  <si>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</si>
  <si>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</si>
  <si>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</si>
  <si>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</si>
  <si>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</si>
  <si>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</si>
  <si>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</si>
  <si>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</si>
  <si>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</si>
  <si>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</si>
  <si>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</si>
  <si>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</si>
  <si>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</si>
  <si>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</si>
  <si>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</si>
  <si>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</si>
  <si>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</si>
  <si>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</si>
  <si>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</si>
  <si>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</si>
  <si>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</si>
  <si>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</si>
  <si>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</si>
  <si>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</si>
  <si>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</si>
  <si>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</si>
  <si>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</si>
  <si>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</si>
  <si>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</si>
  <si>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</si>
  <si>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</si>
  <si>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</si>
  <si>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</si>
  <si>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</si>
  <si>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</si>
  <si>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</si>
  <si>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</si>
  <si>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</si>
  <si>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</si>
  <si>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</si>
  <si>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</si>
  <si>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</si>
  <si>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</si>
  <si>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</si>
  <si>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</si>
  <si>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</si>
  <si>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</si>
  <si>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</si>
  <si>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</si>
  <si>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</si>
  <si>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</si>
  <si>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</si>
  <si>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</si>
  <si>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</si>
  <si>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</si>
  <si>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</si>
  <si>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</si>
  <si>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</si>
  <si>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</si>
  <si>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</si>
  <si>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</si>
  <si>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</si>
  <si>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</si>
  <si>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</si>
  <si>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</si>
  <si>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</si>
  <si>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</si>
  <si>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</si>
  <si>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</si>
  <si>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</si>
  <si>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</si>
  <si>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</si>
  <si>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</si>
  <si>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</si>
  <si>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</si>
  <si>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</si>
  <si>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</si>
  <si>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</si>
  <si>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</si>
  <si>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</si>
  <si>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</si>
  <si>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</si>
  <si>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</si>
  <si>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</si>
  <si>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</si>
  <si>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</si>
  <si>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</si>
  <si>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</si>
  <si>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</si>
  <si>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</si>
  <si>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</si>
  <si>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</si>
  <si>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</si>
  <si>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</si>
  <si>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</si>
  <si>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</si>
  <si>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</si>
  <si>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</si>
  <si>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</si>
  <si>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</si>
  <si>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</si>
  <si>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</si>
  <si>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</si>
  <si>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</si>
  <si>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</si>
  <si>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</si>
  <si>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</si>
  <si>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</si>
  <si>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</si>
  <si>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</si>
  <si>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</si>
  <si>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</si>
  <si>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</si>
  <si>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</si>
  <si>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</si>
  <si>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</si>
  <si>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</si>
  <si>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</si>
  <si>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</si>
  <si>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</si>
  <si>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</si>
  <si>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</si>
  <si>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</si>
  <si>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</si>
  <si>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</si>
  <si>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</si>
  <si>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</si>
  <si>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</si>
  <si>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</si>
  <si>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</si>
  <si>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</si>
  <si>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</si>
  <si>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</si>
  <si>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</si>
  <si>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</si>
  <si>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</si>
  <si>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</si>
  <si>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</si>
  <si>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</si>
  <si>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</si>
  <si>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</si>
  <si>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</si>
  <si>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</si>
  <si>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</si>
  <si>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</si>
  <si>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</si>
  <si>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</si>
  <si>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</si>
  <si>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</si>
  <si>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</si>
  <si>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</si>
  <si>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</si>
  <si>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</si>
  <si>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</si>
  <si>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</si>
  <si>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</si>
  <si>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</si>
  <si>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</si>
  <si>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</si>
  <si>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</si>
  <si>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</si>
  <si>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</si>
  <si>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</si>
  <si>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</si>
  <si>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</si>
  <si>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</si>
  <si>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</si>
  <si>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</si>
  <si>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</si>
  <si>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</si>
  <si>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</si>
  <si>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</si>
  <si>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</si>
  <si>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</si>
  <si>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</si>
  <si>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</si>
  <si>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</si>
  <si>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</si>
  <si>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</si>
  <si>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</si>
  <si>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</si>
  <si>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</si>
  <si>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</si>
  <si>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</si>
  <si>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</si>
  <si>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</si>
  <si>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</si>
  <si>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</si>
  <si>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</si>
  <si>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</si>
  <si>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</si>
  <si>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</si>
  <si>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</si>
  <si>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</si>
  <si>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</si>
  <si>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</si>
  <si>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</si>
  <si>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</si>
  <si>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</si>
  <si>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</si>
  <si>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</si>
  <si>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</si>
  <si>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</si>
  <si>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</si>
  <si>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</si>
  <si>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</si>
  <si>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</si>
  <si>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</si>
  <si>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</si>
  <si>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</si>
  <si>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</si>
  <si>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</si>
  <si>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</si>
  <si>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</si>
  <si>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</si>
  <si>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</si>
  <si>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</si>
  <si>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</si>
  <si>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</si>
  <si>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</si>
  <si>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</si>
  <si>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</si>
  <si>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</si>
  <si>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</si>
  <si>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</si>
  <si>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</si>
  <si>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</si>
  <si>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</si>
  <si>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</si>
  <si>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</si>
  <si>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</si>
  <si>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</si>
  <si>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</si>
  <si>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</si>
  <si>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</si>
  <si>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</si>
  <si>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</si>
  <si>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</si>
  <si>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</si>
  <si>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</si>
  <si>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</si>
  <si>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</si>
  <si>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</si>
  <si>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</si>
  <si>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</si>
  <si>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</si>
  <si>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</si>
  <si>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</si>
  <si>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</si>
  <si>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</si>
  <si>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</si>
  <si>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</si>
  <si>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</si>
  <si>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</si>
  <si>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</si>
  <si>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</si>
  <si>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</si>
  <si>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</si>
  <si>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</si>
  <si>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</si>
  <si>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</si>
  <si>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</si>
  <si>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</si>
  <si>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</si>
  <si>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</si>
  <si>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</si>
  <si>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</si>
  <si>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</si>
  <si>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</si>
  <si>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</si>
  <si>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</si>
  <si>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</si>
  <si>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</si>
  <si>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</si>
  <si>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</si>
  <si>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</si>
  <si>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</si>
  <si>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</si>
  <si>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</si>
  <si>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</si>
  <si>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</si>
  <si>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</si>
  <si>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</si>
  <si>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</si>
  <si>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</si>
  <si>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</si>
  <si>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</si>
  <si>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</si>
  <si>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</si>
  <si>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</si>
  <si>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</si>
  <si>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</si>
  <si>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</si>
  <si>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</si>
  <si>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</si>
  <si>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</si>
  <si>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</si>
  <si>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</si>
  <si>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</si>
  <si>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</si>
  <si>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</si>
  <si>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</si>
  <si>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</si>
  <si>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</si>
  <si>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</si>
  <si>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</si>
  <si>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</si>
  <si>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</si>
  <si>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</si>
  <si>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</si>
  <si>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</si>
  <si>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</si>
  <si>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</si>
  <si>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</si>
  <si>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</si>
  <si>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</si>
  <si>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</si>
  <si>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</si>
  <si>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</si>
  <si>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</si>
  <si>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</si>
  <si>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</si>
  <si>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</si>
  <si>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</si>
  <si>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</si>
  <si>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</si>
  <si>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</si>
  <si>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</si>
  <si>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</si>
  <si>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</si>
  <si>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</si>
  <si>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</si>
  <si>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</si>
  <si>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</si>
  <si>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</si>
  <si>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</si>
  <si>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</si>
  <si>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</si>
  <si>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</si>
  <si>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</si>
  <si>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</si>
  <si>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</si>
  <si>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</si>
  <si>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</si>
  <si>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</si>
  <si>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</si>
  <si>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</si>
  <si>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</si>
  <si>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</si>
  <si>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</si>
  <si>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</si>
  <si>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</si>
  <si>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</si>
  <si>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</si>
  <si>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</si>
  <si>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</si>
  <si>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</si>
  <si>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</si>
  <si>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</si>
  <si>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</si>
  <si>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</si>
  <si>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</si>
  <si>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</si>
  <si>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</si>
  <si>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</si>
  <si>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</si>
  <si>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</si>
  <si>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</si>
  <si>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</si>
  <si>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</si>
  <si>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</si>
  <si>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</si>
  <si>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</si>
  <si>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</si>
  <si>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</si>
  <si>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</si>
  <si>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</si>
  <si>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</si>
  <si>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</si>
  <si>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</si>
  <si>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</si>
  <si>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</si>
  <si>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</si>
  <si>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</si>
  <si>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</si>
  <si>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</si>
  <si>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</si>
  <si>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</si>
  <si>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</si>
  <si>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</si>
  <si>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</si>
  <si>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</si>
  <si>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</si>
  <si>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</si>
  <si>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</si>
  <si>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</si>
  <si>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</si>
  <si>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</si>
  <si>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</si>
  <si>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</si>
  <si>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</si>
  <si>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</si>
  <si>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</si>
  <si>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</si>
  <si>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</si>
  <si>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</si>
  <si>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</si>
  <si>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</si>
  <si>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</si>
  <si>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</si>
  <si>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</si>
  <si>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</si>
  <si>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</si>
  <si>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</si>
  <si>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</si>
  <si>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</si>
  <si>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</si>
  <si>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</si>
  <si>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</si>
  <si>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</si>
  <si>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</si>
  <si>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</si>
  <si>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</si>
  <si>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</si>
  <si>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</si>
  <si>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</si>
  <si>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</si>
  <si>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</si>
  <si>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</si>
  <si>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</si>
  <si>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</si>
  <si>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</si>
  <si>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</si>
  <si>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</si>
  <si>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</si>
  <si>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2-May-17CVS Earnings announcement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</si>
  <si>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</si>
  <si>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</si>
  <si>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</si>
  <si>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</si>
  <si>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</si>
  <si>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</si>
  <si>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</si>
  <si>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</si>
  <si>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</si>
  <si>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</si>
  <si>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</si>
  <si>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</si>
  <si>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</si>
  <si>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</si>
  <si>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</si>
  <si>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</si>
  <si>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</si>
  <si>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</si>
  <si>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</si>
  <si>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</si>
  <si>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</si>
  <si>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</si>
  <si>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</si>
  <si>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</si>
  <si>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</si>
  <si>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</si>
  <si>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</si>
  <si>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</si>
  <si>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</si>
  <si>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</si>
  <si>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</si>
  <si>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</si>
  <si>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</si>
  <si>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</si>
  <si>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</si>
  <si>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</si>
  <si>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</si>
  <si>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</si>
  <si>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</si>
  <si>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</si>
  <si>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</si>
  <si>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</si>
  <si>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</si>
  <si>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</si>
  <si>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</si>
  <si>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</si>
  <si>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</si>
  <si>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</si>
  <si>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</si>
  <si>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</si>
  <si>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</si>
  <si>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</si>
  <si>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</si>
  <si>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</si>
  <si>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</si>
  <si>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</si>
  <si>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</si>
  <si>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</si>
  <si>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</si>
  <si>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</si>
  <si>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</si>
  <si>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</si>
  <si>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</si>
  <si>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</si>
  <si>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</si>
  <si>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</si>
  <si>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</si>
  <si>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</si>
  <si>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</si>
  <si>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</si>
  <si>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</si>
  <si>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</si>
  <si>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</si>
  <si>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</si>
  <si>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</si>
  <si>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</si>
  <si>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</si>
  <si>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</si>
  <si>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</si>
  <si>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</si>
  <si>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</si>
  <si>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</si>
  <si>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</si>
  <si>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</si>
  <si>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</si>
  <si>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</si>
  <si>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</si>
  <si>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</si>
  <si>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</si>
  <si>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</si>
  <si>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</si>
  <si>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</si>
  <si>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</si>
  <si>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</si>
  <si>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</si>
  <si>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</si>
  <si>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</si>
  <si>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</si>
  <si>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</si>
  <si>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</si>
  <si>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</si>
  <si>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</si>
  <si>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</si>
  <si>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</si>
  <si>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</si>
  <si>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</si>
  <si>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</si>
  <si>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</si>
  <si>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</si>
  <si>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</si>
  <si>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</si>
  <si>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</si>
  <si>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</si>
  <si>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</si>
  <si>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</si>
  <si>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</si>
  <si>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</si>
  <si>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</si>
  <si>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</si>
  <si>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</si>
  <si>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</si>
  <si>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</si>
  <si>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</si>
  <si>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</si>
  <si>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</si>
  <si>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</si>
  <si>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</si>
  <si>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</si>
  <si>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</si>
  <si>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</si>
  <si>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</si>
  <si>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</si>
  <si>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</si>
  <si>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</si>
  <si>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</si>
  <si>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</si>
  <si>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</si>
  <si>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</si>
  <si>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</si>
  <si>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</si>
  <si>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</si>
  <si>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</si>
  <si>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</si>
  <si>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</si>
  <si>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</si>
  <si>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</si>
  <si>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</si>
  <si>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</si>
  <si>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</si>
  <si>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</si>
  <si>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</si>
  <si>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</si>
  <si>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</si>
  <si>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</si>
  <si>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</si>
  <si>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</si>
  <si>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</si>
  <si>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</si>
  <si>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</si>
  <si>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</si>
  <si>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</si>
  <si>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</si>
  <si>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</si>
  <si>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</si>
  <si>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</si>
  <si>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</si>
  <si>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</si>
  <si>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</si>
  <si>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</si>
  <si>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</si>
  <si>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</si>
  <si>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</si>
  <si>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</si>
  <si>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</si>
  <si>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</si>
  <si>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</si>
  <si>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</si>
  <si>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</si>
  <si>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</si>
  <si>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</si>
  <si>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</si>
  <si>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</si>
  <si>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</si>
  <si>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</si>
  <si>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</si>
  <si>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</si>
  <si>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</si>
  <si>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</si>
  <si>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</si>
  <si>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</si>
  <si>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</si>
  <si>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</si>
  <si>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</si>
  <si>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</si>
  <si>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</si>
  <si>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</si>
  <si>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</si>
  <si>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</si>
  <si>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</si>
  <si>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</si>
  <si>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</si>
  <si>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</si>
  <si>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</si>
  <si>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</si>
  <si>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</si>
  <si>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</si>
  <si>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</si>
  <si>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</si>
  <si>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</si>
  <si>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</si>
  <si>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</si>
  <si>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</si>
  <si>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</si>
  <si>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</si>
  <si>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</si>
  <si>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</si>
  <si>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</si>
  <si>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</si>
  <si>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</si>
  <si>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</si>
  <si>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</si>
  <si>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</si>
  <si>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</si>
  <si>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</si>
  <si>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</si>
  <si>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</si>
  <si>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</si>
  <si>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</si>
  <si>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</si>
  <si>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</si>
  <si>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</si>
  <si>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</si>
  <si>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</si>
  <si>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</si>
  <si>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</si>
  <si>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</si>
  <si>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</si>
  <si>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</si>
  <si>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</si>
  <si>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</si>
  <si>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</si>
  <si>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</si>
  <si>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</si>
  <si>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</si>
  <si>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</si>
  <si>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</si>
  <si>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</si>
  <si>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</si>
  <si>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</si>
  <si>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</si>
  <si>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</si>
  <si>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</si>
  <si>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</si>
  <si>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</si>
  <si>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</si>
  <si>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</si>
  <si>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</si>
  <si>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</si>
  <si>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</si>
  <si>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</si>
  <si>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</si>
  <si>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</si>
  <si>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</si>
  <si>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</si>
  <si>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</si>
  <si>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</si>
  <si>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</si>
  <si>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</si>
  <si>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</si>
  <si>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</si>
  <si>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</si>
  <si>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</si>
  <si>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</si>
  <si>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</si>
  <si>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</si>
  <si>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</si>
  <si>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</si>
  <si>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</si>
  <si>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</si>
  <si>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</si>
  <si>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</si>
  <si>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</si>
  <si>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</si>
  <si>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</si>
  <si>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</si>
  <si>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</si>
  <si>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</si>
  <si>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</si>
  <si>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</si>
  <si>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</si>
  <si>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</si>
  <si>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</si>
  <si>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</si>
  <si>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</si>
  <si>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</si>
  <si>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</si>
  <si>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</si>
  <si>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</si>
  <si>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</si>
  <si>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</si>
  <si>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</si>
  <si>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</si>
  <si>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</si>
  <si>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</si>
  <si>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</si>
  <si>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</si>
  <si>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</si>
  <si>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</si>
  <si>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</si>
  <si>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</si>
  <si>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</si>
  <si>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</si>
  <si>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</si>
  <si>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</si>
  <si>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</si>
  <si>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</si>
  <si>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</si>
  <si>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</si>
  <si>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</si>
  <si>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</si>
  <si>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</si>
  <si>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</si>
  <si>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</si>
  <si>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</si>
  <si>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</si>
  <si>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</si>
  <si>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</si>
  <si>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</si>
  <si>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</si>
  <si>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</si>
  <si>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</si>
  <si>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</si>
  <si>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</si>
  <si>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</si>
  <si>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</si>
  <si>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</si>
  <si>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</si>
  <si>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</si>
  <si>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</si>
  <si>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</si>
  <si>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</si>
  <si>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</si>
  <si>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</si>
  <si>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</si>
  <si>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</si>
  <si>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</si>
  <si>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</si>
  <si>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</si>
  <si>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</si>
  <si>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</si>
  <si>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</si>
  <si>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</si>
  <si>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</si>
  <si>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</si>
  <si>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</si>
  <si>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</si>
  <si>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</si>
  <si>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</si>
  <si>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</si>
  <si>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</si>
  <si>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</si>
  <si>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</si>
  <si>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</si>
  <si>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</si>
  <si>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</si>
  <si>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</si>
  <si>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</si>
  <si>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</si>
  <si>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</si>
  <si>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</si>
  <si>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</si>
  <si>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</si>
  <si>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</si>
  <si>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</si>
  <si>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</si>
  <si>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</si>
  <si>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</si>
  <si>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</si>
  <si>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</si>
  <si>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</si>
  <si>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</si>
  <si>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</si>
  <si>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</si>
  <si>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</si>
  <si>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</si>
  <si>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</si>
  <si>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</si>
  <si>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</si>
  <si>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</si>
  <si>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</si>
  <si>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</si>
  <si>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</si>
  <si>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</si>
  <si>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</si>
  <si>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</si>
  <si>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</si>
  <si>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</si>
  <si>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</si>
  <si>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</si>
  <si>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</si>
  <si>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</si>
  <si>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</si>
  <si>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</si>
  <si>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</si>
  <si>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</si>
  <si>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</si>
  <si>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</si>
  <si>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</si>
  <si>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</si>
  <si>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</si>
  <si>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</si>
  <si>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</si>
  <si>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</si>
  <si>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</si>
  <si>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</si>
  <si>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</si>
  <si>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</si>
  <si>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</si>
  <si>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</si>
  <si>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</si>
  <si>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</si>
  <si>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</si>
  <si>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</si>
  <si>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</si>
  <si>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</si>
  <si>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</si>
  <si>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</si>
  <si>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</si>
  <si>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</si>
  <si>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</si>
  <si>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</si>
  <si>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</si>
  <si>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</si>
  <si>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</si>
  <si>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</si>
  <si>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</si>
  <si>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</si>
  <si>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</si>
  <si>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</si>
  <si>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</si>
  <si>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</si>
  <si>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</si>
  <si>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</si>
  <si>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</si>
  <si>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</si>
  <si>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</si>
  <si>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</si>
  <si>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</si>
  <si>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</si>
  <si>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</si>
  <si>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</si>
  <si>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</si>
  <si>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</si>
  <si>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</si>
  <si>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</si>
  <si>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</si>
  <si>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</si>
  <si>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</si>
  <si>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</si>
  <si>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</si>
  <si>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</si>
  <si>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</si>
  <si>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</si>
  <si>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</si>
  <si>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</si>
  <si>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</si>
  <si>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</si>
  <si>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</si>
  <si>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</si>
  <si>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</si>
  <si>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</si>
  <si>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</si>
  <si>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</si>
  <si>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</si>
  <si>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</si>
  <si>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</si>
  <si>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</si>
  <si>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</si>
  <si>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</si>
  <si>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</si>
  <si>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</si>
  <si>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</si>
  <si>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</si>
  <si>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</si>
  <si>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</si>
  <si>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</si>
  <si>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</si>
  <si>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</si>
  <si>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</si>
  <si>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</si>
  <si>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</si>
  <si>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</si>
  <si>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</si>
  <si>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</si>
  <si>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</si>
  <si>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</si>
  <si>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</si>
  <si>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</si>
  <si>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</si>
  <si>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</si>
  <si>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</si>
  <si>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</si>
  <si>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</si>
  <si>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</si>
  <si>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</si>
  <si>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</si>
  <si>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</si>
  <si>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</si>
  <si>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</si>
  <si>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</si>
  <si>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</si>
  <si>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</si>
  <si>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</si>
  <si>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</si>
  <si>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</si>
  <si>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</si>
  <si>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</si>
  <si>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</si>
  <si>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</si>
  <si>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</si>
  <si>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</si>
  <si>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</si>
  <si>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</si>
  <si>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</si>
  <si>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</si>
  <si>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</si>
  <si>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</si>
  <si>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</si>
  <si>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</si>
  <si>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</si>
  <si>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</si>
  <si>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</si>
  <si>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</si>
  <si>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</si>
  <si>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</si>
  <si>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</si>
  <si>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</si>
  <si>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</si>
  <si>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</si>
  <si>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</si>
  <si>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</si>
  <si>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</si>
  <si>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</si>
  <si>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</si>
  <si>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</si>
  <si>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10 year PE average is 17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</si>
  <si>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</si>
  <si>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</si>
  <si>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</si>
  <si>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</si>
  <si>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</si>
  <si>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</si>
  <si>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</si>
  <si>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</si>
  <si>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</si>
  <si>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</si>
  <si>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</si>
  <si>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</si>
  <si>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</si>
  <si>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</si>
  <si>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</si>
  <si>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</si>
  <si>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</si>
  <si>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</si>
  <si>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</si>
  <si>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</si>
  <si>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</si>
  <si>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</si>
  <si>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</si>
  <si>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</si>
  <si>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</si>
  <si>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</si>
  <si>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</si>
  <si>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</si>
  <si>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</si>
  <si>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</si>
  <si>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</si>
  <si>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</si>
  <si>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</si>
  <si>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</si>
  <si>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</si>
  <si>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</si>
  <si>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</si>
  <si>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</si>
  <si>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</si>
  <si>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</si>
  <si>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</si>
  <si>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</si>
  <si>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</si>
  <si>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</si>
  <si>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</si>
  <si>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</si>
  <si>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</si>
  <si>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</si>
  <si>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</si>
  <si>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</si>
  <si>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</si>
  <si>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</si>
  <si>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</si>
  <si>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</si>
  <si>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</si>
  <si>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</si>
  <si>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</si>
  <si>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</si>
  <si>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</si>
  <si>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</si>
  <si>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</si>
  <si>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</si>
  <si>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</si>
  <si>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</si>
  <si>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</si>
  <si>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</si>
  <si>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</si>
  <si>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</si>
  <si>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</si>
  <si>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</si>
  <si>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</si>
  <si>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</si>
  <si>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</si>
  <si>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</si>
  <si>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</si>
  <si>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</si>
  <si>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</si>
  <si>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</si>
  <si>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</si>
  <si>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</si>
  <si>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</si>
  <si>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</si>
  <si>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</si>
  <si>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</si>
  <si>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</si>
  <si>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</si>
  <si>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</si>
  <si>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</si>
  <si>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IRR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</si>
  <si>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</si>
  <si>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</si>
  <si>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</si>
  <si>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</si>
  <si>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</si>
  <si>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</si>
  <si>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</si>
  <si>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</si>
  <si>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</si>
  <si>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</si>
  <si>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8/1/2018 AH</t>
  </si>
  <si>
    <t>7/13/2018 PM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</si>
  <si>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</si>
  <si>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</si>
  <si>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</si>
  <si>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</si>
  <si>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</si>
  <si>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</si>
  <si>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</si>
  <si>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</si>
  <si>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</si>
  <si>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</si>
  <si>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</si>
  <si>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</si>
  <si>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7/26/2018 PM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</si>
  <si>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</si>
  <si>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</si>
  <si>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</si>
  <si>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</si>
  <si>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</si>
  <si>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</si>
  <si>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</si>
  <si>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</si>
  <si>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</si>
  <si>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</si>
  <si>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</si>
  <si>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</si>
  <si>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</si>
  <si>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</si>
  <si>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</si>
  <si>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</si>
  <si>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</si>
  <si>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8/30/2018 est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</si>
  <si>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</si>
  <si>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</si>
  <si>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</si>
  <si>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</si>
  <si>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</si>
  <si>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</si>
  <si>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</si>
  <si>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</si>
  <si>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</si>
  <si>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9/28/2018 est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</si>
  <si>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</si>
  <si>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</si>
  <si>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</si>
  <si>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</si>
  <si>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</si>
  <si>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</si>
  <si>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</si>
  <si>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</si>
  <si>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</si>
  <si>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</si>
  <si>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</si>
  <si>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</si>
  <si>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</si>
  <si>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</si>
  <si>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</si>
  <si>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</si>
  <si>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</si>
  <si>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</si>
  <si>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</si>
  <si>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</si>
  <si>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</si>
  <si>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</si>
  <si>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</si>
  <si>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</si>
  <si>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</si>
  <si>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</si>
  <si>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</si>
  <si>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</si>
  <si>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SBH ER est</t>
  </si>
  <si>
    <t>HSIC ER est</t>
  </si>
  <si>
    <t>Macy to open more bluemercury stores</t>
  </si>
  <si>
    <t>Investor day</t>
  </si>
  <si>
    <t>CEO Jeff harmening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</si>
  <si>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</si>
  <si>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</si>
  <si>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</si>
  <si>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</si>
  <si>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</si>
  <si>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</si>
  <si>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</si>
  <si>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</si>
  <si>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</si>
  <si>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</si>
  <si>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8/7/2018 PM</t>
  </si>
  <si>
    <t>LUV ER PM, AAL ER</t>
  </si>
  <si>
    <t>10/3/2018 est</t>
  </si>
  <si>
    <t>8/23/2018 est</t>
  </si>
  <si>
    <t>8/2/2018 PM</t>
  </si>
  <si>
    <t>7/23/2018 PM</t>
  </si>
  <si>
    <t>1300 @ 20.43</t>
  </si>
  <si>
    <t>WTI dropped to 68. MRO down 7%</t>
  </si>
  <si>
    <t>MRO ER</t>
  </si>
  <si>
    <t>7/24/2018 AH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</si>
  <si>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</si>
  <si>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</si>
  <si>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</si>
  <si>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</si>
  <si>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</si>
  <si>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</si>
  <si>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</si>
  <si>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</si>
  <si>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</si>
  <si>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</si>
  <si>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</si>
  <si>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</si>
  <si>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</si>
  <si>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</si>
  <si>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</si>
  <si>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8/6/2018 AH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</si>
  <si>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</si>
  <si>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</si>
  <si>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</si>
  <si>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</si>
  <si>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</si>
  <si>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8/8/2018 PM</t>
  </si>
  <si>
    <t>Very significant insider buying</t>
  </si>
  <si>
    <t> 65% gain in Supervalu, which earlier agreed to be acquired by United Natural.</t>
  </si>
  <si>
    <t>Last reviewed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</si>
</sst>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40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sz val="9"/>
      <color rgb="FF007700"/>
      <name val="Arial"/>
      <family val="2"/>
    </font>
    <font>
      <sz val="9"/>
      <color rgb="FFCC0000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CF6FD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66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left"/>
    </xf>
    <xf numFmtId="14" fontId="14" fillId="0" borderId="0" xfId="0" applyNumberFormat="1" applyFont="1" applyAlignment="1">
      <alignment horizontal="right"/>
    </xf>
    <xf numFmtId="171" fontId="12" fillId="0" borderId="0" xfId="0" applyNumberFormat="1" applyFont="1"/>
    <xf numFmtId="0" fontId="15" fillId="7" borderId="4" xfId="2" applyFill="1" applyAlignment="1">
      <alignment horizontal="center"/>
    </xf>
    <xf numFmtId="10" fontId="38" fillId="33" borderId="0" xfId="0" applyNumberFormat="1" applyFont="1" applyFill="1" applyBorder="1" applyAlignment="1">
      <alignment horizontal="right" vertical="center"/>
    </xf>
    <xf numFmtId="10" fontId="39" fillId="33" borderId="0" xfId="0" applyNumberFormat="1" applyFont="1" applyFill="1" applyBorder="1" applyAlignment="1">
      <alignment horizontal="right" vertical="center"/>
    </xf>
    <xf numFmtId="10" fontId="0" fillId="0" borderId="0" xfId="0" applyNumberFormat="1" applyBorder="1"/>
    <xf numFmtId="10" fontId="39" fillId="34" borderId="0" xfId="0" applyNumberFormat="1" applyFont="1" applyFill="1" applyBorder="1" applyAlignment="1">
      <alignment horizontal="right" vertical="center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821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820"/>
      <tableStyleElement type="headerRow" dxfId="2819"/>
    </tableStyle>
  </tableStyles>
  <colors>
    <mruColors>
      <color rgb="FFFF7C5D"/>
      <color rgb="FFE7271D"/>
      <color rgb="FFFBDBD9"/>
      <color rgb="FFF9DEDB"/>
      <color rgb="FFED5C55"/>
      <color rgb="FFFF3300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theme" Target="theme/theme1.xml"/><Relationship Id="rId95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Balance!$B$2:$B$850</c:f>
              <c:numCache>
                <c:formatCode>m/d/yyyy</c:formatCode>
                <c:ptCount val="84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</c:numCache>
            </c:numRef>
          </c:xVal>
          <c:yVal>
            <c:numRef>
              <c:f>Balance!$I$2:$I$852</c:f>
              <c:numCache>
                <c:formatCode>0.00</c:formatCode>
                <c:ptCount val="851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188560"/>
        <c:axId val="190658272"/>
      </c:scatterChart>
      <c:valAx>
        <c:axId val="158188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658272"/>
        <c:crosses val="autoZero"/>
        <c:crossBetween val="midCat"/>
      </c:valAx>
      <c:valAx>
        <c:axId val="190658272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188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Balance!$B$2:$B$741</c:f>
              <c:numCache>
                <c:formatCode>m/d/yyyy</c:formatCode>
                <c:ptCount val="7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</c:numCache>
            </c:numRef>
          </c:xVal>
          <c:yVal>
            <c:numRef>
              <c:f>Balance!$M$2:$M$791</c:f>
              <c:numCache>
                <c:formatCode>0.00</c:formatCode>
                <c:ptCount val="790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145816"/>
        <c:axId val="472071120"/>
      </c:scatterChart>
      <c:valAx>
        <c:axId val="409145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071120"/>
        <c:crosses val="autoZero"/>
        <c:crossBetween val="midCat"/>
      </c:valAx>
      <c:valAx>
        <c:axId val="472071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145816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Balance!$B$2:$B$991</c:f>
              <c:numCache>
                <c:formatCode>m/d/yyyy</c:formatCode>
                <c:ptCount val="9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</c:numCache>
            </c:numRef>
          </c:xVal>
          <c:yVal>
            <c:numRef>
              <c:f>Balance!$C$2:$C$993</c:f>
              <c:numCache>
                <c:formatCode>0.00</c:formatCode>
                <c:ptCount val="992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506696"/>
        <c:axId val="472028120"/>
      </c:scatterChart>
      <c:valAx>
        <c:axId val="462506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028120"/>
        <c:crosses val="autoZero"/>
        <c:crossBetween val="midCat"/>
      </c:valAx>
      <c:valAx>
        <c:axId val="47202812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506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Balance!$B$2:$B$791</c:f>
              <c:numCache>
                <c:formatCode>m/d/yyyy</c:formatCode>
                <c:ptCount val="7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</c:numCache>
            </c:numRef>
          </c:xVal>
          <c:yVal>
            <c:numRef>
              <c:f>Balance!$Q$2:$Q$794</c:f>
              <c:numCache>
                <c:formatCode>0.00%</c:formatCode>
                <c:ptCount val="7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043096"/>
        <c:axId val="472038216"/>
      </c:scatterChart>
      <c:valAx>
        <c:axId val="472043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038216"/>
        <c:crosses val="autoZero"/>
        <c:crossBetween val="midCat"/>
      </c:valAx>
      <c:valAx>
        <c:axId val="472038216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0430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Balance!$B$2:$B$788</c:f>
              <c:numCache>
                <c:formatCode>m/d/yyyy</c:formatCode>
                <c:ptCount val="7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</c:numCache>
            </c:numRef>
          </c:xVal>
          <c:yVal>
            <c:numRef>
              <c:f>Balance!$W$2:$W$795</c:f>
              <c:numCache>
                <c:formatCode>0.00%</c:formatCode>
                <c:ptCount val="794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897232"/>
        <c:axId val="406928096"/>
      </c:scatterChart>
      <c:valAx>
        <c:axId val="472897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928096"/>
        <c:crosses val="autoZero"/>
        <c:crossBetween val="midCat"/>
      </c:valAx>
      <c:valAx>
        <c:axId val="40692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897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Balance!$B$2:$B$741</c:f>
              <c:numCache>
                <c:formatCode>m/d/yyyy</c:formatCode>
                <c:ptCount val="7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</c:numCache>
            </c:numRef>
          </c:xVal>
          <c:yVal>
            <c:numRef>
              <c:f>Balance!$Y$2:$Y$795</c:f>
              <c:numCache>
                <c:formatCode>0.00</c:formatCode>
                <c:ptCount val="794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880224"/>
        <c:axId val="472882576"/>
      </c:scatterChart>
      <c:valAx>
        <c:axId val="472880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882576"/>
        <c:crosses val="autoZero"/>
        <c:crossBetween val="midCat"/>
      </c:valAx>
      <c:valAx>
        <c:axId val="472882576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880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Balance!$B$2:$B$789</c:f>
              <c:numCache>
                <c:formatCode>m/d/yyyy</c:formatCode>
                <c:ptCount val="7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</c:numCache>
            </c:numRef>
          </c:xVal>
          <c:yVal>
            <c:numRef>
              <c:f>Balance!$S$2:$S$795</c:f>
              <c:numCache>
                <c:formatCode>0.00%</c:formatCode>
                <c:ptCount val="794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886888"/>
        <c:axId val="472880616"/>
      </c:scatterChart>
      <c:valAx>
        <c:axId val="472886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880616"/>
        <c:crosses val="autoZero"/>
        <c:crossBetween val="midCat"/>
      </c:valAx>
      <c:valAx>
        <c:axId val="4728806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886888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Balance!$B$2:$B$789</c:f>
              <c:numCache>
                <c:formatCode>m/d/yyyy</c:formatCode>
                <c:ptCount val="7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</c:numCache>
            </c:numRef>
          </c:xVal>
          <c:yVal>
            <c:numRef>
              <c:f>Balance!$Z$3:$Z$790</c:f>
              <c:numCache>
                <c:formatCode>0.00</c:formatCode>
                <c:ptCount val="788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884536"/>
        <c:axId val="472883752"/>
      </c:scatterChart>
      <c:valAx>
        <c:axId val="472884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883752"/>
        <c:crosses val="autoZero"/>
        <c:crossBetween val="midCat"/>
      </c:valAx>
      <c:valAx>
        <c:axId val="472883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884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NVR!$D$24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NVR!$B$25:$B$47</c:f>
              <c:numCache>
                <c:formatCode>d\-mmm</c:formatCode>
                <c:ptCount val="23"/>
                <c:pt idx="0">
                  <c:v>43301</c:v>
                </c:pt>
              </c:numCache>
            </c:numRef>
          </c:cat>
          <c:val>
            <c:numRef>
              <c:f>NVR!$D$25:$D$47</c:f>
              <c:numCache>
                <c:formatCode>0.00</c:formatCode>
                <c:ptCount val="23"/>
                <c:pt idx="0">
                  <c:v>2868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NVR!$E$24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NVR!$B$25:$B$47</c:f>
              <c:numCache>
                <c:formatCode>d\-mmm</c:formatCode>
                <c:ptCount val="23"/>
                <c:pt idx="0">
                  <c:v>43301</c:v>
                </c:pt>
              </c:numCache>
            </c:numRef>
          </c:cat>
          <c:val>
            <c:numRef>
              <c:f>NVR!$E$25:$E$47</c:f>
              <c:numCache>
                <c:formatCode>0.00</c:formatCode>
                <c:ptCount val="23"/>
                <c:pt idx="0">
                  <c:v>2910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883360"/>
        <c:axId val="472884928"/>
      </c:lineChart>
      <c:dateAx>
        <c:axId val="4728833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884928"/>
        <c:crosses val="autoZero"/>
        <c:auto val="1"/>
        <c:lblOffset val="100"/>
        <c:baseTimeUnit val="days"/>
      </c:dateAx>
      <c:valAx>
        <c:axId val="47288492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883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882968"/>
        <c:axId val="472358608"/>
      </c:lineChart>
      <c:dateAx>
        <c:axId val="472882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358608"/>
        <c:crosses val="autoZero"/>
        <c:auto val="1"/>
        <c:lblOffset val="100"/>
        <c:baseTimeUnit val="days"/>
      </c:dateAx>
      <c:valAx>
        <c:axId val="47235860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882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365664"/>
        <c:axId val="472362136"/>
      </c:lineChart>
      <c:dateAx>
        <c:axId val="472365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362136"/>
        <c:crosses val="autoZero"/>
        <c:auto val="1"/>
        <c:lblOffset val="100"/>
        <c:baseTimeUnit val="days"/>
      </c:dateAx>
      <c:valAx>
        <c:axId val="472362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365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364488"/>
        <c:axId val="472362920"/>
      </c:lineChart>
      <c:dateAx>
        <c:axId val="472364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362920"/>
        <c:crosses val="autoZero"/>
        <c:auto val="1"/>
        <c:lblOffset val="100"/>
        <c:baseTimeUnit val="days"/>
      </c:dateAx>
      <c:valAx>
        <c:axId val="47236292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364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355288"/>
        <c:axId val="475356464"/>
      </c:lineChart>
      <c:dateAx>
        <c:axId val="475355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356464"/>
        <c:crosses val="autoZero"/>
        <c:auto val="1"/>
        <c:lblOffset val="100"/>
        <c:baseTimeUnit val="days"/>
      </c:dateAx>
      <c:valAx>
        <c:axId val="47535646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355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MRO!$D$100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MRO!$B$101:$B$264</c:f>
              <c:numCache>
                <c:formatCode>m/d/yyyy</c:formatCode>
                <c:ptCount val="164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</c:numCache>
            </c:numRef>
          </c:cat>
          <c:val>
            <c:numRef>
              <c:f>MRO!$D$101:$D$264</c:f>
              <c:numCache>
                <c:formatCode>0.000</c:formatCode>
                <c:ptCount val="164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MRO!$E$100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MRO!$B$101:$B$264</c:f>
              <c:numCache>
                <c:formatCode>m/d/yyyy</c:formatCode>
                <c:ptCount val="164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</c:numCache>
            </c:numRef>
          </c:cat>
          <c:val>
            <c:numRef>
              <c:f>MRO!$E$101:$E$264</c:f>
              <c:numCache>
                <c:formatCode>0.00</c:formatCode>
                <c:ptCount val="164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351368"/>
        <c:axId val="475350976"/>
      </c:lineChart>
      <c:dateAx>
        <c:axId val="4753513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350976"/>
        <c:crosses val="autoZero"/>
        <c:auto val="1"/>
        <c:lblOffset val="100"/>
        <c:baseTimeUnit val="days"/>
      </c:dateAx>
      <c:valAx>
        <c:axId val="475350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351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XRAY!$B$25:$B$47</c:f>
              <c:numCache>
                <c:formatCode>d\-mmm</c:formatCode>
                <c:ptCount val="23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</c:numCache>
            </c:numRef>
          </c:cat>
          <c:val>
            <c:numRef>
              <c:f>XRAY!$D$25:$D$47</c:f>
              <c:numCache>
                <c:formatCode>0.00</c:formatCode>
                <c:ptCount val="23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XRAY!$B$25:$B$47</c:f>
              <c:numCache>
                <c:formatCode>d\-mmm</c:formatCode>
                <c:ptCount val="23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</c:numCache>
            </c:numRef>
          </c:cat>
          <c:val>
            <c:numRef>
              <c:f>XRAY!$E$25:$E$47</c:f>
              <c:numCache>
                <c:formatCode>0.00</c:formatCode>
                <c:ptCount val="23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352152"/>
        <c:axId val="475356072"/>
      </c:lineChart>
      <c:dateAx>
        <c:axId val="4753521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356072"/>
        <c:crosses val="autoZero"/>
        <c:auto val="1"/>
        <c:lblOffset val="100"/>
        <c:baseTimeUnit val="days"/>
      </c:dateAx>
      <c:valAx>
        <c:axId val="47535607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352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KR!$B$63:$B$168</c:f>
              <c:strCache>
                <c:ptCount val="95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  <c:pt idx="89">
                  <c:v>20-Jun</c:v>
                </c:pt>
                <c:pt idx="90">
                  <c:v>22-Jun</c:v>
                </c:pt>
                <c:pt idx="91">
                  <c:v>27-Jun</c:v>
                </c:pt>
                <c:pt idx="92">
                  <c:v>4-Jul</c:v>
                </c:pt>
                <c:pt idx="93">
                  <c:v>7-Jul</c:v>
                </c:pt>
                <c:pt idx="94">
                  <c:v>15-Jul</c:v>
                </c:pt>
              </c:strCache>
            </c:strRef>
          </c:cat>
          <c:val>
            <c:numRef>
              <c:f>KR!$E$64:$E$168</c:f>
              <c:numCache>
                <c:formatCode>0.00</c:formatCode>
                <c:ptCount val="105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KR!$B$63:$B$168</c:f>
              <c:strCache>
                <c:ptCount val="95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  <c:pt idx="89">
                  <c:v>20-Jun</c:v>
                </c:pt>
                <c:pt idx="90">
                  <c:v>22-Jun</c:v>
                </c:pt>
                <c:pt idx="91">
                  <c:v>27-Jun</c:v>
                </c:pt>
                <c:pt idx="92">
                  <c:v>4-Jul</c:v>
                </c:pt>
                <c:pt idx="93">
                  <c:v>7-Jul</c:v>
                </c:pt>
                <c:pt idx="94">
                  <c:v>15-Jul</c:v>
                </c:pt>
              </c:strCache>
            </c:strRef>
          </c:cat>
          <c:val>
            <c:numRef>
              <c:f>KR!$D$64:$D$168</c:f>
              <c:numCache>
                <c:formatCode>0.00</c:formatCode>
                <c:ptCount val="105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318952"/>
        <c:axId val="488320128"/>
      </c:lineChart>
      <c:catAx>
        <c:axId val="488318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20128"/>
        <c:crosses val="autoZero"/>
        <c:auto val="1"/>
        <c:lblAlgn val="ctr"/>
        <c:lblOffset val="100"/>
        <c:noMultiLvlLbl val="0"/>
      </c:catAx>
      <c:valAx>
        <c:axId val="488320128"/>
        <c:scaling>
          <c:orientation val="minMax"/>
          <c:max val="36"/>
          <c:min val="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18952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322088"/>
        <c:axId val="488317384"/>
      </c:lineChart>
      <c:dateAx>
        <c:axId val="4883220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17384"/>
        <c:crosses val="autoZero"/>
        <c:auto val="1"/>
        <c:lblOffset val="100"/>
        <c:baseTimeUnit val="days"/>
      </c:dateAx>
      <c:valAx>
        <c:axId val="488317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22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324048"/>
        <c:axId val="488324440"/>
      </c:lineChart>
      <c:dateAx>
        <c:axId val="4883240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24440"/>
        <c:crosses val="autoZero"/>
        <c:auto val="1"/>
        <c:lblOffset val="100"/>
        <c:baseTimeUnit val="days"/>
      </c:dateAx>
      <c:valAx>
        <c:axId val="488324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24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T!$B$25:$B$49</c:f>
              <c:numCache>
                <c:formatCode>d\-mmm</c:formatCode>
                <c:ptCount val="25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</c:numCache>
            </c:numRef>
          </c:cat>
          <c:val>
            <c:numRef>
              <c:f>T!$E$25:$E$49</c:f>
              <c:numCache>
                <c:formatCode>0.00</c:formatCode>
                <c:ptCount val="25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T!$B$25:$B$49</c:f>
              <c:numCache>
                <c:formatCode>d\-mmm</c:formatCode>
                <c:ptCount val="25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</c:numCache>
            </c:numRef>
          </c:cat>
          <c:val>
            <c:numRef>
              <c:f>T!$D$25:$D$49</c:f>
              <c:numCache>
                <c:formatCode>0.00</c:formatCode>
                <c:ptCount val="25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322872"/>
        <c:axId val="488323656"/>
      </c:lineChart>
      <c:dateAx>
        <c:axId val="4883228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23656"/>
        <c:crosses val="autoZero"/>
        <c:auto val="1"/>
        <c:lblOffset val="100"/>
        <c:baseTimeUnit val="days"/>
      </c:dateAx>
      <c:valAx>
        <c:axId val="488323656"/>
        <c:scaling>
          <c:orientation val="minMax"/>
          <c:max val="37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22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726384"/>
        <c:axId val="489728736"/>
      </c:lineChart>
      <c:dateAx>
        <c:axId val="489726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728736"/>
        <c:crosses val="autoZero"/>
        <c:auto val="1"/>
        <c:lblOffset val="100"/>
        <c:baseTimeUnit val="days"/>
      </c:dateAx>
      <c:valAx>
        <c:axId val="48972873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726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</c:numCache>
            </c:numRef>
          </c:cat>
          <c:val>
            <c:numRef>
              <c:f>WBA!$E$31:$E$88</c:f>
              <c:numCache>
                <c:formatCode>0.00</c:formatCode>
                <c:ptCount val="58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</c:numCache>
            </c:numRef>
          </c:cat>
          <c:val>
            <c:numRef>
              <c:f>WBA!$D$31:$D$88</c:f>
              <c:numCache>
                <c:formatCode>0.00</c:formatCode>
                <c:ptCount val="58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729520"/>
        <c:axId val="489722072"/>
      </c:lineChart>
      <c:dateAx>
        <c:axId val="4897295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722072"/>
        <c:crosses val="autoZero"/>
        <c:auto val="1"/>
        <c:lblOffset val="100"/>
        <c:baseTimeUnit val="days"/>
      </c:dateAx>
      <c:valAx>
        <c:axId val="48972207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729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KHC!$B$25:$B$59</c:f>
              <c:numCache>
                <c:formatCode>d\-mmm</c:formatCode>
                <c:ptCount val="35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43287</c:v>
                </c:pt>
                <c:pt idx="10">
                  <c:v>43299</c:v>
                </c:pt>
                <c:pt idx="11">
                  <c:v>43305</c:v>
                </c:pt>
                <c:pt idx="12">
                  <c:v>43307</c:v>
                </c:pt>
              </c:numCache>
            </c:numRef>
          </c:cat>
          <c:val>
            <c:numRef>
              <c:f>KHC!$D$25:$D$59</c:f>
              <c:numCache>
                <c:formatCode>0.00</c:formatCode>
                <c:ptCount val="35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10">
                  <c:v>61.473300000000002</c:v>
                </c:pt>
                <c:pt idx="11">
                  <c:v>60.436700000000002</c:v>
                </c:pt>
                <c:pt idx="12">
                  <c:v>59.394100000000002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KHC!$B$25:$B$59</c:f>
              <c:numCache>
                <c:formatCode>d\-mmm</c:formatCode>
                <c:ptCount val="35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43287</c:v>
                </c:pt>
                <c:pt idx="10">
                  <c:v>43299</c:v>
                </c:pt>
                <c:pt idx="11">
                  <c:v>43305</c:v>
                </c:pt>
                <c:pt idx="12">
                  <c:v>43307</c:v>
                </c:pt>
              </c:numCache>
            </c:numRef>
          </c:cat>
          <c:val>
            <c:numRef>
              <c:f>KHC!$E$25:$E$59</c:f>
              <c:numCache>
                <c:formatCode>0.00</c:formatCode>
                <c:ptCount val="35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10">
                  <c:v>62.25</c:v>
                </c:pt>
                <c:pt idx="11">
                  <c:v>59.4</c:v>
                </c:pt>
                <c:pt idx="12">
                  <c:v>61.48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725600"/>
        <c:axId val="489728344"/>
      </c:lineChart>
      <c:dateAx>
        <c:axId val="4897256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728344"/>
        <c:crosses val="autoZero"/>
        <c:auto val="1"/>
        <c:lblOffset val="100"/>
        <c:baseTimeUnit val="days"/>
      </c:dateAx>
      <c:valAx>
        <c:axId val="48972834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725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</c:numCache>
            </c:numRef>
          </c:cat>
          <c:val>
            <c:numRef>
              <c:f>AYI!$E$25:$E$55</c:f>
              <c:numCache>
                <c:formatCode>0.00</c:formatCode>
                <c:ptCount val="31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</c:numCache>
            </c:numRef>
          </c:cat>
          <c:val>
            <c:numRef>
              <c:f>AYI!$D$25:$D$55</c:f>
              <c:numCache>
                <c:formatCode>0.00</c:formatCode>
                <c:ptCount val="31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9723248"/>
        <c:axId val="489723640"/>
      </c:lineChart>
      <c:dateAx>
        <c:axId val="4897232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723640"/>
        <c:crosses val="autoZero"/>
        <c:auto val="1"/>
        <c:lblOffset val="100"/>
        <c:baseTimeUnit val="days"/>
      </c:dateAx>
      <c:valAx>
        <c:axId val="489723640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723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MOS!$E$36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MOS!$B$37:$B$114</c:f>
              <c:numCache>
                <c:formatCode>d\-mmm</c:formatCode>
                <c:ptCount val="78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</c:numCache>
            </c:numRef>
          </c:cat>
          <c:val>
            <c:numRef>
              <c:f>MOS!$E$37:$E$114</c:f>
              <c:numCache>
                <c:formatCode>0.00</c:formatCode>
                <c:ptCount val="78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MOS!$D$36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MOS!$B$37:$B$114</c:f>
              <c:numCache>
                <c:formatCode>d\-mmm</c:formatCode>
                <c:ptCount val="78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</c:numCache>
            </c:numRef>
          </c:cat>
          <c:val>
            <c:numRef>
              <c:f>MOS!$D$37:$D$114</c:f>
              <c:numCache>
                <c:formatCode>0.00</c:formatCode>
                <c:ptCount val="78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458648"/>
        <c:axId val="489459040"/>
      </c:lineChart>
      <c:dateAx>
        <c:axId val="4894586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459040"/>
        <c:crosses val="autoZero"/>
        <c:auto val="1"/>
        <c:lblOffset val="100"/>
        <c:baseTimeUnit val="days"/>
      </c:dateAx>
      <c:valAx>
        <c:axId val="489459040"/>
        <c:scaling>
          <c:orientation val="minMax"/>
          <c:max val="35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458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453944"/>
        <c:axId val="489456296"/>
      </c:lineChart>
      <c:catAx>
        <c:axId val="4894539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456296"/>
        <c:crosses val="autoZero"/>
        <c:auto val="1"/>
        <c:lblAlgn val="ctr"/>
        <c:lblOffset val="100"/>
        <c:noMultiLvlLbl val="0"/>
      </c:catAx>
      <c:valAx>
        <c:axId val="4894562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453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PDCO!$B$31:$B$69</c:f>
              <c:numCache>
                <c:formatCode>d\-mmm</c:formatCode>
                <c:ptCount val="3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</c:numCache>
            </c:numRef>
          </c:xVal>
          <c:yVal>
            <c:numRef>
              <c:f>PDCO!$E$31:$E$69</c:f>
              <c:numCache>
                <c:formatCode>0.00</c:formatCode>
                <c:ptCount val="39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PDCO!$B$31:$B$69</c:f>
              <c:numCache>
                <c:formatCode>d\-mmm</c:formatCode>
                <c:ptCount val="3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</c:numCache>
            </c:numRef>
          </c:xVal>
          <c:yVal>
            <c:numRef>
              <c:f>PDCO!$D$31:$D$69</c:f>
              <c:numCache>
                <c:formatCode>0.00</c:formatCode>
                <c:ptCount val="39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458256"/>
        <c:axId val="489451592"/>
      </c:scatterChart>
      <c:valAx>
        <c:axId val="489458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451592"/>
        <c:crosses val="autoZero"/>
        <c:crossBetween val="midCat"/>
      </c:valAx>
      <c:valAx>
        <c:axId val="48945159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458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368816"/>
        <c:axId val="511368032"/>
      </c:lineChart>
      <c:catAx>
        <c:axId val="5113688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368032"/>
        <c:crosses val="autoZero"/>
        <c:auto val="1"/>
        <c:lblAlgn val="ctr"/>
        <c:lblOffset val="100"/>
        <c:noMultiLvlLbl val="0"/>
      </c:catAx>
      <c:valAx>
        <c:axId val="51136803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36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364896"/>
        <c:axId val="511367640"/>
      </c:lineChart>
      <c:dateAx>
        <c:axId val="511364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367640"/>
        <c:crosses val="autoZero"/>
        <c:auto val="1"/>
        <c:lblOffset val="100"/>
        <c:baseTimeUnit val="days"/>
      </c:dateAx>
      <c:valAx>
        <c:axId val="51136764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364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366072"/>
        <c:axId val="511365680"/>
      </c:lineChart>
      <c:dateAx>
        <c:axId val="511366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365680"/>
        <c:crosses val="autoZero"/>
        <c:auto val="1"/>
        <c:lblOffset val="100"/>
        <c:baseTimeUnit val="days"/>
      </c:dateAx>
      <c:valAx>
        <c:axId val="51136568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366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962248"/>
        <c:axId val="555964992"/>
      </c:lineChart>
      <c:dateAx>
        <c:axId val="555962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964992"/>
        <c:crosses val="autoZero"/>
        <c:auto val="1"/>
        <c:lblOffset val="100"/>
        <c:baseTimeUnit val="days"/>
      </c:dateAx>
      <c:valAx>
        <c:axId val="55596499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962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NWL!$E$32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NWL!$B$33:$B$81</c:f>
              <c:numCache>
                <c:formatCode>d\-mmm</c:formatCode>
                <c:ptCount val="4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</c:numCache>
            </c:numRef>
          </c:cat>
          <c:val>
            <c:numRef>
              <c:f>NWL!$E$33:$E$81</c:f>
              <c:numCache>
                <c:formatCode>0.00</c:formatCode>
                <c:ptCount val="49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NWL!$D$32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NWL!$B$33:$B$81</c:f>
              <c:numCache>
                <c:formatCode>d\-mmm</c:formatCode>
                <c:ptCount val="4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</c:numCache>
            </c:numRef>
          </c:cat>
          <c:val>
            <c:numRef>
              <c:f>NWL!$D$33:$D$81</c:f>
              <c:numCache>
                <c:formatCode>0.00</c:formatCode>
                <c:ptCount val="49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5964600"/>
        <c:axId val="555965384"/>
      </c:lineChart>
      <c:dateAx>
        <c:axId val="5559646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965384"/>
        <c:crosses val="autoZero"/>
        <c:auto val="1"/>
        <c:lblOffset val="100"/>
        <c:baseTimeUnit val="days"/>
      </c:dateAx>
      <c:valAx>
        <c:axId val="555965384"/>
        <c:scaling>
          <c:orientation val="minMax"/>
          <c:max val="4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964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959896"/>
        <c:axId val="555961464"/>
      </c:lineChart>
      <c:dateAx>
        <c:axId val="5559598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961464"/>
        <c:crosses val="autoZero"/>
        <c:auto val="1"/>
        <c:lblOffset val="100"/>
        <c:baseTimeUnit val="days"/>
      </c:dateAx>
      <c:valAx>
        <c:axId val="55596146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959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931936"/>
        <c:axId val="546942128"/>
      </c:lineChart>
      <c:catAx>
        <c:axId val="5469319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942128"/>
        <c:crosses val="autoZero"/>
        <c:auto val="1"/>
        <c:lblAlgn val="ctr"/>
        <c:lblOffset val="100"/>
        <c:noMultiLvlLbl val="0"/>
      </c:catAx>
      <c:valAx>
        <c:axId val="54694212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931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940560"/>
        <c:axId val="546935856"/>
      </c:lineChart>
      <c:catAx>
        <c:axId val="5469405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935856"/>
        <c:crosses val="autoZero"/>
        <c:auto val="1"/>
        <c:lblAlgn val="ctr"/>
        <c:lblOffset val="100"/>
        <c:noMultiLvlLbl val="0"/>
      </c:catAx>
      <c:valAx>
        <c:axId val="54693585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940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942912"/>
        <c:axId val="546934680"/>
      </c:lineChart>
      <c:dateAx>
        <c:axId val="546942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934680"/>
        <c:crosses val="autoZero"/>
        <c:auto val="1"/>
        <c:lblOffset val="100"/>
        <c:baseTimeUnit val="days"/>
      </c:dateAx>
      <c:valAx>
        <c:axId val="54693468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942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938208"/>
        <c:axId val="546938600"/>
      </c:lineChart>
      <c:dateAx>
        <c:axId val="546938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938600"/>
        <c:crosses val="autoZero"/>
        <c:auto val="1"/>
        <c:lblOffset val="100"/>
        <c:baseTimeUnit val="days"/>
      </c:dateAx>
      <c:valAx>
        <c:axId val="54693860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938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GIS!$B$25:$B$74</c:f>
              <c:numCache>
                <c:formatCode>d\-mmm</c:formatCode>
                <c:ptCount val="5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</c:numCache>
            </c:numRef>
          </c:cat>
          <c:val>
            <c:numRef>
              <c:f>GIS!$E$25:$E$74</c:f>
              <c:numCache>
                <c:formatCode>0.00</c:formatCode>
                <c:ptCount val="50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GIS!$B$25:$B$74</c:f>
              <c:numCache>
                <c:formatCode>d\-mmm</c:formatCode>
                <c:ptCount val="5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</c:numCache>
            </c:numRef>
          </c:cat>
          <c:val>
            <c:numRef>
              <c:f>GIS!$D$25:$D$74</c:f>
              <c:numCache>
                <c:formatCode>0.00</c:formatCode>
                <c:ptCount val="50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941344"/>
        <c:axId val="546940952"/>
      </c:lineChart>
      <c:dateAx>
        <c:axId val="5469413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940952"/>
        <c:crosses val="autoZero"/>
        <c:auto val="1"/>
        <c:lblOffset val="100"/>
        <c:baseTimeUnit val="days"/>
      </c:dateAx>
      <c:valAx>
        <c:axId val="546940952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941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946440"/>
        <c:axId val="546945264"/>
      </c:lineChart>
      <c:catAx>
        <c:axId val="5469464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945264"/>
        <c:crosses val="autoZero"/>
        <c:auto val="1"/>
        <c:lblAlgn val="ctr"/>
        <c:lblOffset val="100"/>
        <c:noMultiLvlLbl val="0"/>
      </c:catAx>
      <c:valAx>
        <c:axId val="54694526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946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7550872"/>
        <c:axId val="567544600"/>
      </c:lineChart>
      <c:dateAx>
        <c:axId val="5675508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544600"/>
        <c:crosses val="autoZero"/>
        <c:auto val="1"/>
        <c:lblOffset val="100"/>
        <c:baseTimeUnit val="days"/>
      </c:dateAx>
      <c:valAx>
        <c:axId val="56754460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550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chart" Target="../charts/chart14.xml"/><Relationship Id="rId1" Type="http://schemas.openxmlformats.org/officeDocument/2006/relationships/image" Target="../media/image5.gi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gif"/><Relationship Id="rId3" Type="http://schemas.openxmlformats.org/officeDocument/2006/relationships/image" Target="../media/image10.gif"/><Relationship Id="rId7" Type="http://schemas.openxmlformats.org/officeDocument/2006/relationships/image" Target="../media/image14.gif"/><Relationship Id="rId2" Type="http://schemas.openxmlformats.org/officeDocument/2006/relationships/image" Target="../media/image9.gif"/><Relationship Id="rId1" Type="http://schemas.openxmlformats.org/officeDocument/2006/relationships/image" Target="../media/image5.gif"/><Relationship Id="rId6" Type="http://schemas.openxmlformats.org/officeDocument/2006/relationships/image" Target="../media/image13.gif"/><Relationship Id="rId5" Type="http://schemas.openxmlformats.org/officeDocument/2006/relationships/image" Target="../media/image12.gif"/><Relationship Id="rId4" Type="http://schemas.openxmlformats.org/officeDocument/2006/relationships/image" Target="../media/image11.gif"/><Relationship Id="rId9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9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1.xml"/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6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233361</xdr:colOff>
      <xdr:row>44</xdr:row>
      <xdr:rowOff>28575</xdr:rowOff>
    </xdr:from>
    <xdr:to>
      <xdr:col>19</xdr:col>
      <xdr:colOff>552449</xdr:colOff>
      <xdr:row>62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295274</xdr:colOff>
      <xdr:row>98</xdr:row>
      <xdr:rowOff>0</xdr:rowOff>
    </xdr:from>
    <xdr:to>
      <xdr:col>19</xdr:col>
      <xdr:colOff>962024</xdr:colOff>
      <xdr:row>124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233361</xdr:colOff>
      <xdr:row>44</xdr:row>
      <xdr:rowOff>28575</xdr:rowOff>
    </xdr:from>
    <xdr:to>
      <xdr:col>19</xdr:col>
      <xdr:colOff>552449</xdr:colOff>
      <xdr:row>62</xdr:row>
      <xdr:rowOff>180975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304799</xdr:colOff>
      <xdr:row>60</xdr:row>
      <xdr:rowOff>33337</xdr:rowOff>
    </xdr:from>
    <xdr:to>
      <xdr:col>18</xdr:col>
      <xdr:colOff>723900</xdr:colOff>
      <xdr:row>88</xdr:row>
      <xdr:rowOff>123825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128587</xdr:colOff>
      <xdr:row>44</xdr:row>
      <xdr:rowOff>161924</xdr:rowOff>
    </xdr:from>
    <xdr:to>
      <xdr:col>18</xdr:col>
      <xdr:colOff>1438275</xdr:colOff>
      <xdr:row>64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52386</xdr:colOff>
      <xdr:row>38</xdr:row>
      <xdr:rowOff>9524</xdr:rowOff>
    </xdr:from>
    <xdr:to>
      <xdr:col>20</xdr:col>
      <xdr:colOff>904874</xdr:colOff>
      <xdr:row>61</xdr:row>
      <xdr:rowOff>171449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300037</xdr:colOff>
      <xdr:row>19</xdr:row>
      <xdr:rowOff>66675</xdr:rowOff>
    </xdr:from>
    <xdr:to>
      <xdr:col>19</xdr:col>
      <xdr:colOff>538162</xdr:colOff>
      <xdr:row>37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66</xdr:row>
      <xdr:rowOff>38100</xdr:rowOff>
    </xdr:from>
    <xdr:to>
      <xdr:col>20</xdr:col>
      <xdr:colOff>2789689</xdr:colOff>
      <xdr:row>95</xdr:row>
      <xdr:rowOff>85029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10575" y="12696825"/>
          <a:ext cx="9085714" cy="5571429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238124</xdr:colOff>
      <xdr:row>44</xdr:row>
      <xdr:rowOff>100012</xdr:rowOff>
    </xdr:from>
    <xdr:to>
      <xdr:col>20</xdr:col>
      <xdr:colOff>752474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1224643</xdr:colOff>
      <xdr:row>104</xdr:row>
      <xdr:rowOff>68035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542925</xdr:colOff>
      <xdr:row>40</xdr:row>
      <xdr:rowOff>47625</xdr:rowOff>
    </xdr:from>
    <xdr:to>
      <xdr:col>19</xdr:col>
      <xdr:colOff>1123951</xdr:colOff>
      <xdr:row>65</xdr:row>
      <xdr:rowOff>76199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66</xdr:row>
      <xdr:rowOff>0</xdr:rowOff>
    </xdr:from>
    <xdr:to>
      <xdr:col>24</xdr:col>
      <xdr:colOff>341769</xdr:colOff>
      <xdr:row>95</xdr:row>
      <xdr:rowOff>104070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72575" y="12658725"/>
          <a:ext cx="9047619" cy="5638095"/>
        </a:xfrm>
        <a:prstGeom prst="rect">
          <a:avLst/>
        </a:prstGeom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481011</xdr:colOff>
      <xdr:row>39</xdr:row>
      <xdr:rowOff>47625</xdr:rowOff>
    </xdr:from>
    <xdr:to>
      <xdr:col>20</xdr:col>
      <xdr:colOff>400049</xdr:colOff>
      <xdr:row>62</xdr:row>
      <xdr:rowOff>180975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5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AAPL" backgroundRefresh="0" connectionId="5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2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5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5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pinc" backgroundRefresh="0" adjustColumnWidth="0" connectionId="6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pinc" backgroundRefresh="0" connectionId="64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foxa" backgroundRefresh="0" adjustColumnWidth="0" connectionId="6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foxa" backgroundRefresh="0" connectionId="62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AKAM+Historical+Prices" backgroundRefresh="0" adjustColumnWidth="0" connectionId="5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AKAM" backgroundRefresh="0" connectionId="5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vs" backgroundRefresh="0" connectionId="68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F" backgroundRefresh="0" adjustColumnWidth="0" connectionId="48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JNJ" backgroundRefresh="0" connectionId="6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CPN" backgroundRefresh="0" connectionId="2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CPN+Historical+Prices" backgroundRefresh="0" adjustColumnWidth="0" connectionId="37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NKE" backgroundRefresh="0" connectionId="1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vgk" backgroundRefresh="0" connectionId="53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vgk" backgroundRefresh="0" connectionId="54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IP" backgroundRefresh="0" connectionId="39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IP" backgroundRefresh="0" adjustColumnWidth="0" connectionId="44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INTC+Historical+Prices" backgroundRefresh="0" adjustColumnWidth="0" connectionId="2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HES" backgroundRefresh="0" connectionId="55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HES" backgroundRefresh="0" adjustColumnWidth="0" connectionId="6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nclh" backgroundRefresh="0" connectionId="66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nclh" backgroundRefresh="0" adjustColumnWidth="0" connectionId="65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SWKS" backgroundRefresh="0" connectionId="4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SWKS" backgroundRefresh="0" adjustColumnWidth="0" connectionId="4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CNI" backgroundRefresh="0" adjustColumnWidth="0" connectionId="4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CNI" backgroundRefresh="0" adjustColumnWidth="0" connectionId="41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CF" backgroundRefresh="0" connectionId="3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KORS" backgroundRefresh="0" adjustColumnWidth="0" connectionId="2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KORS" backgroundRefresh="0" adjustColumnWidth="0" connectionId="2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ALL+Historical+Prices" backgroundRefresh="0" adjustColumnWidth="0" connectionId="4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ALL" backgroundRefresh="0" connectionId="4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AVGO" backgroundRefresh="0" adjustColumnWidth="0" connectionId="1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AVGO" backgroundRefresh="0" adjustColumnWidth="0" connectionId="18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UAL" connectionId="1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ual" backgroundRefresh="0" adjustColumnWidth="0" connectionId="1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DIS" backgroundRefresh="0" adjustColumnWidth="0" connectionId="2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DIS" backgroundRefresh="0" adjustColumnWidth="0" connectionId="2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FTR" backgroundRefresh="0" adjustColumnWidth="0" connectionId="3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GILD" backgroundRefres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WWD" backgroundRefresh="0" adjustColumnWidth="0" connectionId="3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WWD" backgroundRefresh="0" adjustColumnWidth="0" connectionId="36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GM" backgroundRefresh="0" adjustColumnWidth="0" connectionId="25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GM" backgroundRefresh="0" connectionId="24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tmo" backgroundRefresh="0" adjustColumnWidth="0" connectionId="4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tmo" backgroundRefresh="0" adjustColumnWidth="0" connectionId="40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TKR" backgroundRefresh="0" adjustColumnWidth="0" connectionId="14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TKR" backgroundRefresh="0" adjustColumnWidth="0" connectionId="1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UTX" backgroundRefresh="0" adjustColumnWidth="0" connectionId="33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UTX" backgroundRefresh="0" adjustColumnWidth="0" connectionId="34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UNH" backgroundRefresh="0" adjustColumnWidth="0" connectionId="3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UNH" backgroundRefresh="0" adjustColumnWidth="0" connectionId="31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490" dataDxfId="489">
  <autoFilter ref="O15:W26"/>
  <tableColumns count="9">
    <tableColumn id="1" name="Date" dataDxfId="488"/>
    <tableColumn id="2" name="Quarter" dataDxfId="487"/>
    <tableColumn id="3" name="Time" dataDxfId="486"/>
    <tableColumn id="4" name="EPS estimate" dataDxfId="485"/>
    <tableColumn id="5" name="EPS Actual" dataDxfId="484"/>
    <tableColumn id="6" name="Sales Estiamte (B)" dataDxfId="483"/>
    <tableColumn id="7" name="Sales Actual (B)" dataDxfId="482"/>
    <tableColumn id="8" name="Guidance" dataDxfId="481"/>
    <tableColumn id="9" name="Reaction" dataDxfId="480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queryTable" Target="../queryTables/queryTable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7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6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23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hyperlink" Target="http://www.wsj.com/mdc/public/page/2_3021-peyield.html" TargetMode="Externa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25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52.bin"/><Relationship Id="rId1" Type="http://schemas.openxmlformats.org/officeDocument/2006/relationships/hyperlink" Target="http://www.nasdaq.com/markets/corn.aspx?timeframe=2y" TargetMode="Externa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27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58.bin"/><Relationship Id="rId1" Type="http://schemas.openxmlformats.org/officeDocument/2006/relationships/hyperlink" Target="http://www.trendforce.com/price" TargetMode="Externa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queryTable" Target="../queryTables/queryTable28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31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6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3.xml"/><Relationship Id="rId4" Type="http://schemas.openxmlformats.org/officeDocument/2006/relationships/queryTable" Target="../queryTables/queryTable32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63.bin"/><Relationship Id="rId4" Type="http://schemas.openxmlformats.org/officeDocument/2006/relationships/queryTable" Target="../queryTables/queryTable36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64.bin"/><Relationship Id="rId1" Type="http://schemas.openxmlformats.org/officeDocument/2006/relationships/hyperlink" Target="http://www.wsj.com/mdc/public/page/2_3021-peyield.html" TargetMode="Externa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5.bin"/><Relationship Id="rId4" Type="http://schemas.openxmlformats.org/officeDocument/2006/relationships/queryTable" Target="../queryTables/queryTable38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8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42.xml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3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72.bin"/><Relationship Id="rId4" Type="http://schemas.openxmlformats.org/officeDocument/2006/relationships/queryTable" Target="../queryTables/queryTable46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7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8.xml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3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4.bin"/><Relationship Id="rId4" Type="http://schemas.openxmlformats.org/officeDocument/2006/relationships/queryTable" Target="../queryTables/queryTable50.xml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76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78.bin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2.x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79.bin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6.xml"/><Relationship Id="rId1" Type="http://schemas.openxmlformats.org/officeDocument/2006/relationships/printerSettings" Target="../printerSettings/printerSettings80.bin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queryTable" Target="../queryTables/queryTable57.xml"/><Relationship Id="rId1" Type="http://schemas.openxmlformats.org/officeDocument/2006/relationships/drawing" Target="../drawings/drawing43.xml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queryTable" Target="../queryTables/queryTable59.xml"/><Relationship Id="rId1" Type="http://schemas.openxmlformats.org/officeDocument/2006/relationships/drawing" Target="../drawings/drawing45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81.bin"/><Relationship Id="rId4" Type="http://schemas.openxmlformats.org/officeDocument/2006/relationships/queryTable" Target="../queryTables/queryTable62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82.bin"/><Relationship Id="rId4" Type="http://schemas.openxmlformats.org/officeDocument/2006/relationships/queryTable" Target="../queryTables/queryTable64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83.bin"/><Relationship Id="rId4" Type="http://schemas.openxmlformats.org/officeDocument/2006/relationships/queryTable" Target="../queryTables/queryTable66.xml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drawing" Target="../drawings/drawing4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tabSelected="1" zoomScaleNormal="100" workbookViewId="0">
      <pane ySplit="1" topLeftCell="A2" activePane="bottomLeft" state="frozen"/>
      <selection pane="bottomLeft" activeCell="U8" sqref="U8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42578125" style="52" customWidth="1"/>
    <col min="4" max="4" width="2" style="49" customWidth="1"/>
    <col min="5" max="5" width="7.28515625" style="53" bestFit="1" customWidth="1"/>
    <col min="6" max="6" width="10.85546875" style="842" bestFit="1" customWidth="1"/>
    <col min="7" max="7" width="10.7109375" style="842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358" bestFit="1" customWidth="1"/>
    <col min="12" max="12" width="11.5703125" style="134" bestFit="1" customWidth="1"/>
    <col min="13" max="13" width="9.85546875" style="358" bestFit="1" customWidth="1"/>
    <col min="14" max="14" width="9.7109375" style="835" bestFit="1" customWidth="1"/>
    <col min="15" max="15" width="13.140625" style="769" bestFit="1" customWidth="1"/>
    <col min="16" max="16" width="9.140625" style="134" bestFit="1" customWidth="1"/>
    <col min="17" max="17" width="13.5703125" style="843" bestFit="1" customWidth="1"/>
    <col min="18" max="18" width="8" style="844" bestFit="1" customWidth="1"/>
    <col min="19" max="19" width="10.28515625" style="49" bestFit="1" customWidth="1"/>
    <col min="20" max="21" width="10.7109375" style="49" bestFit="1" customWidth="1"/>
    <col min="22" max="23" width="10.28515625" style="49" bestFit="1" customWidth="1"/>
    <col min="24" max="24" width="9.140625" style="49"/>
    <col min="25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1" t="s">
        <v>142</v>
      </c>
      <c r="G1" s="841" t="s">
        <v>73</v>
      </c>
      <c r="H1" s="56" t="s">
        <v>57</v>
      </c>
      <c r="I1" s="57" t="s">
        <v>1163</v>
      </c>
      <c r="J1" s="57" t="s">
        <v>74</v>
      </c>
      <c r="K1" s="357" t="s">
        <v>1162</v>
      </c>
      <c r="L1" s="346" t="s">
        <v>1164</v>
      </c>
      <c r="M1" s="357" t="s">
        <v>178</v>
      </c>
      <c r="N1" s="57" t="s">
        <v>227</v>
      </c>
      <c r="O1" s="834" t="s">
        <v>938</v>
      </c>
      <c r="P1" s="346" t="s">
        <v>205</v>
      </c>
      <c r="Q1" s="346" t="s">
        <v>276</v>
      </c>
      <c r="R1" s="357" t="s">
        <v>965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0"/>
      <c r="C2" s="51"/>
      <c r="D2" s="788"/>
      <c r="E2" s="22" t="s">
        <v>912</v>
      </c>
      <c r="F2" s="2">
        <v>31.08</v>
      </c>
      <c r="G2" s="78">
        <v>30.81010666666667</v>
      </c>
      <c r="H2">
        <v>1500</v>
      </c>
      <c r="I2" s="2">
        <v>46620</v>
      </c>
      <c r="J2" s="2">
        <v>46215.16</v>
      </c>
      <c r="K2" s="2">
        <v>404.83999999999651</v>
      </c>
      <c r="L2" s="736">
        <v>8.7598961033564082E-3</v>
      </c>
      <c r="M2" s="2">
        <v>404.83999999999651</v>
      </c>
      <c r="N2">
        <v>100</v>
      </c>
      <c r="O2" t="s">
        <v>1208</v>
      </c>
      <c r="P2" s="736">
        <v>6.4350064350064351E-2</v>
      </c>
      <c r="Q2" s="853">
        <v>2.41E-2</v>
      </c>
      <c r="R2" s="2">
        <v>8.9567723342939463</v>
      </c>
      <c r="U2" s="48"/>
    </row>
    <row r="3" spans="1:41" ht="21.95" customHeight="1" x14ac:dyDescent="0.25">
      <c r="A3" s="51"/>
      <c r="B3" s="50"/>
      <c r="C3" s="51"/>
      <c r="D3" s="788"/>
      <c r="E3" s="22" t="s">
        <v>195</v>
      </c>
      <c r="F3" s="2">
        <v>28.6999</v>
      </c>
      <c r="G3" s="78">
        <v>27.715833333333347</v>
      </c>
      <c r="H3">
        <v>1500</v>
      </c>
      <c r="I3" s="2">
        <v>43049.85</v>
      </c>
      <c r="J3" s="2">
        <v>41573.750000000022</v>
      </c>
      <c r="K3" s="2">
        <v>1476.0999999999694</v>
      </c>
      <c r="L3" s="736">
        <v>3.5505577437685523E-2</v>
      </c>
      <c r="M3" s="2">
        <v>3224.0699999999633</v>
      </c>
      <c r="N3">
        <v>1500</v>
      </c>
      <c r="O3" t="s">
        <v>1145</v>
      </c>
      <c r="P3" s="736">
        <v>1.9512263108930696E-2</v>
      </c>
      <c r="Q3" s="736">
        <v>2.0999999999999999E-3</v>
      </c>
      <c r="R3" s="2">
        <v>13.831277108433733</v>
      </c>
      <c r="S3" s="48"/>
      <c r="T3" s="48"/>
    </row>
    <row r="4" spans="1:41" ht="21.95" customHeight="1" x14ac:dyDescent="0.25">
      <c r="A4" s="50"/>
      <c r="B4" s="50"/>
      <c r="C4" s="51"/>
      <c r="D4" s="788"/>
      <c r="E4" s="22" t="s">
        <v>50</v>
      </c>
      <c r="F4" s="2">
        <v>20.83</v>
      </c>
      <c r="G4" s="78">
        <v>7.6566949999999778</v>
      </c>
      <c r="H4">
        <v>2000</v>
      </c>
      <c r="I4" s="2">
        <v>41660</v>
      </c>
      <c r="J4" s="2">
        <v>15313.389999999956</v>
      </c>
      <c r="K4" s="2">
        <v>26346.610000000044</v>
      </c>
      <c r="L4" s="736">
        <v>1.7204949393961833</v>
      </c>
      <c r="M4" s="2">
        <v>40962.18100000167</v>
      </c>
      <c r="N4">
        <v>200</v>
      </c>
      <c r="O4" t="s">
        <v>1113</v>
      </c>
      <c r="P4" s="736">
        <v>9.6015362457993296E-3</v>
      </c>
      <c r="Q4" s="736">
        <v>-1.9300000000000001E-2</v>
      </c>
      <c r="R4" s="2">
        <v>33.063492063492063</v>
      </c>
      <c r="S4" s="48"/>
      <c r="T4" s="48"/>
      <c r="U4" s="48"/>
      <c r="V4" s="48"/>
      <c r="X4" s="850"/>
    </row>
    <row r="5" spans="1:41" ht="21.95" customHeight="1" x14ac:dyDescent="0.25">
      <c r="A5" s="50"/>
      <c r="B5" s="50"/>
      <c r="C5" s="51"/>
      <c r="D5" s="788"/>
      <c r="E5" s="22" t="s">
        <v>14</v>
      </c>
      <c r="F5" s="2">
        <v>57.899900000000002</v>
      </c>
      <c r="G5" s="78">
        <v>57.048479999999998</v>
      </c>
      <c r="H5">
        <v>250</v>
      </c>
      <c r="I5" s="2">
        <v>14474.975</v>
      </c>
      <c r="J5" s="2">
        <v>14262.119999999999</v>
      </c>
      <c r="K5" s="2">
        <v>212.85500000000138</v>
      </c>
      <c r="L5" s="736">
        <v>1.4924499303048995E-2</v>
      </c>
      <c r="M5" s="2">
        <v>212.85500000000138</v>
      </c>
      <c r="N5" s="29">
        <v>43314</v>
      </c>
      <c r="O5"/>
      <c r="P5" s="736">
        <v>4.8359323591232448E-2</v>
      </c>
      <c r="Q5" s="736">
        <v>3.2099999999999997E-2</v>
      </c>
      <c r="R5" s="2">
        <v>14.529460476787953</v>
      </c>
      <c r="S5" s="736"/>
      <c r="T5" s="48"/>
      <c r="W5" s="48"/>
      <c r="X5"/>
      <c r="Y5"/>
      <c r="Z5"/>
      <c r="AA5" s="2"/>
      <c r="AB5"/>
      <c r="AC5"/>
      <c r="AD5" s="2"/>
      <c r="AE5"/>
      <c r="AF5"/>
      <c r="AG5" s="2"/>
      <c r="AH5"/>
      <c r="AI5" s="2"/>
      <c r="AJ5"/>
      <c r="AK5"/>
      <c r="AL5"/>
      <c r="AM5"/>
      <c r="AN5"/>
      <c r="AO5"/>
    </row>
    <row r="6" spans="1:41" ht="21.95" customHeight="1" x14ac:dyDescent="0.25">
      <c r="A6" s="51"/>
      <c r="B6" s="51"/>
      <c r="C6" s="51"/>
      <c r="D6" s="788"/>
      <c r="E6" s="22" t="s">
        <v>727</v>
      </c>
      <c r="F6" s="2">
        <v>68.64</v>
      </c>
      <c r="G6" s="78">
        <v>62.082000000000043</v>
      </c>
      <c r="H6">
        <v>200</v>
      </c>
      <c r="I6" s="2">
        <v>13728</v>
      </c>
      <c r="J6" s="2">
        <v>12416.400000000009</v>
      </c>
      <c r="K6" s="2">
        <v>1311.5999999999913</v>
      </c>
      <c r="L6" s="736">
        <v>0.10563448342514663</v>
      </c>
      <c r="M6" s="2">
        <v>1311.5999999999913</v>
      </c>
      <c r="N6" s="29">
        <v>43311</v>
      </c>
      <c r="O6" t="s">
        <v>1155</v>
      </c>
      <c r="P6" s="736">
        <v>2.3310023310023312E-2</v>
      </c>
      <c r="Q6" s="736">
        <v>1.6299999999999999E-2</v>
      </c>
      <c r="R6" s="2">
        <v>11.487866108786612</v>
      </c>
      <c r="S6" s="736"/>
    </row>
    <row r="7" spans="1:41" ht="21.95" customHeight="1" x14ac:dyDescent="0.25">
      <c r="A7" s="50"/>
      <c r="B7" s="50"/>
      <c r="C7" s="51"/>
      <c r="D7" s="788"/>
      <c r="E7" s="22" t="s">
        <v>52</v>
      </c>
      <c r="F7" s="2">
        <v>49.32</v>
      </c>
      <c r="G7" s="78">
        <v>49.735999999999997</v>
      </c>
      <c r="H7">
        <v>250</v>
      </c>
      <c r="I7" s="2">
        <v>12330</v>
      </c>
      <c r="J7" s="2">
        <v>12434</v>
      </c>
      <c r="K7" s="2">
        <v>-104</v>
      </c>
      <c r="L7" s="736">
        <v>-8.3641627794755671E-3</v>
      </c>
      <c r="M7" s="2">
        <v>952.73999999999796</v>
      </c>
      <c r="N7" s="29">
        <v>43329</v>
      </c>
      <c r="O7" t="s">
        <v>1217</v>
      </c>
      <c r="P7" s="736">
        <v>3.8605028386050282E-2</v>
      </c>
      <c r="Q7" s="854">
        <v>8.0000000000000004E-4</v>
      </c>
      <c r="R7" s="2">
        <v>10.065306122448979</v>
      </c>
      <c r="S7" s="736"/>
      <c r="T7" s="48"/>
    </row>
    <row r="8" spans="1:41" ht="21.95" customHeight="1" x14ac:dyDescent="0.25">
      <c r="A8" s="51"/>
      <c r="B8" s="51"/>
      <c r="C8" s="51"/>
      <c r="D8" s="788"/>
      <c r="E8" s="22" t="s">
        <v>224</v>
      </c>
      <c r="F8" s="2">
        <v>29.779900000000001</v>
      </c>
      <c r="G8" s="78">
        <v>17.576174999999893</v>
      </c>
      <c r="H8">
        <v>400</v>
      </c>
      <c r="I8" s="2">
        <v>11911.960000000001</v>
      </c>
      <c r="J8" s="2">
        <v>7030.4699999999575</v>
      </c>
      <c r="K8" s="2">
        <v>4881.4900000000434</v>
      </c>
      <c r="L8" s="736">
        <v>0.69433338027188418</v>
      </c>
      <c r="M8" s="2">
        <v>6333.7500000000418</v>
      </c>
      <c r="N8" s="29">
        <v>43325</v>
      </c>
      <c r="O8" t="s">
        <v>1224</v>
      </c>
      <c r="P8" s="736">
        <v>3.3579696372385403E-3</v>
      </c>
      <c r="Q8" s="736">
        <v>-3.0000000000000001E-3</v>
      </c>
      <c r="R8" s="2">
        <v>21.271357142857145</v>
      </c>
      <c r="S8" s="48"/>
      <c r="V8" s="48"/>
      <c r="X8"/>
      <c r="Y8"/>
      <c r="Z8"/>
      <c r="AA8" s="2"/>
      <c r="AB8"/>
      <c r="AC8"/>
      <c r="AD8" s="2"/>
      <c r="AE8"/>
      <c r="AF8"/>
      <c r="AG8" s="2"/>
      <c r="AH8"/>
      <c r="AI8" s="2"/>
      <c r="AJ8"/>
      <c r="AK8"/>
      <c r="AL8"/>
      <c r="AM8"/>
      <c r="AN8"/>
      <c r="AO8"/>
    </row>
    <row r="9" spans="1:41" ht="21.95" customHeight="1" x14ac:dyDescent="0.25">
      <c r="A9" s="50"/>
      <c r="B9" s="50"/>
      <c r="C9" s="51"/>
      <c r="D9" s="788"/>
      <c r="E9" s="22" t="s">
        <v>816</v>
      </c>
      <c r="F9" s="78">
        <v>23.77</v>
      </c>
      <c r="G9" s="78">
        <v>29.009419999999992</v>
      </c>
      <c r="H9">
        <v>500</v>
      </c>
      <c r="I9" s="2">
        <v>11885</v>
      </c>
      <c r="J9" s="2">
        <v>14504.709999999995</v>
      </c>
      <c r="K9" s="2">
        <v>-2619.7099999999955</v>
      </c>
      <c r="L9" s="736">
        <v>-0.18061098774122314</v>
      </c>
      <c r="M9" s="2">
        <v>-2619.7099999999955</v>
      </c>
      <c r="N9">
        <v>300</v>
      </c>
      <c r="O9" t="s">
        <v>1202</v>
      </c>
      <c r="P9" s="736">
        <v>4.3752629364745478E-2</v>
      </c>
      <c r="Q9" s="736">
        <v>1.5800000000000002E-2</v>
      </c>
      <c r="R9" s="2">
        <v>13.982352941176471</v>
      </c>
      <c r="U9" s="48"/>
    </row>
    <row r="10" spans="1:41" ht="21.95" customHeight="1" x14ac:dyDescent="0.25">
      <c r="A10" s="50"/>
      <c r="B10" s="50"/>
      <c r="C10" s="51"/>
      <c r="D10" s="788"/>
      <c r="E10" s="22" t="s">
        <v>174</v>
      </c>
      <c r="F10" s="2">
        <v>26.04</v>
      </c>
      <c r="G10" s="78">
        <v>32.78063157894735</v>
      </c>
      <c r="H10">
        <v>380</v>
      </c>
      <c r="I10" s="2">
        <v>9895.1999999999989</v>
      </c>
      <c r="J10" s="2">
        <v>12456.639999999992</v>
      </c>
      <c r="K10" s="2">
        <v>-2561.4399999999932</v>
      </c>
      <c r="L10" s="736">
        <v>-0.2056284840855957</v>
      </c>
      <c r="M10" s="2">
        <v>-2486.4199999999933</v>
      </c>
      <c r="N10">
        <v>160</v>
      </c>
      <c r="O10" t="s">
        <v>1217</v>
      </c>
      <c r="P10" s="736">
        <v>3.5330261136712754E-2</v>
      </c>
      <c r="Q10" s="736">
        <v>-5.7000000000000002E-3</v>
      </c>
      <c r="R10" s="2">
        <v>9.7528089887640448</v>
      </c>
      <c r="S10" s="48"/>
      <c r="T10" s="48"/>
    </row>
    <row r="11" spans="1:41" ht="21.95" customHeight="1" x14ac:dyDescent="0.25">
      <c r="A11" s="50"/>
      <c r="B11" s="50"/>
      <c r="C11" s="51"/>
      <c r="D11" s="788"/>
      <c r="E11" s="22" t="s">
        <v>956</v>
      </c>
      <c r="F11" s="2">
        <v>47.279899999999998</v>
      </c>
      <c r="G11" s="78">
        <v>48.9039</v>
      </c>
      <c r="H11">
        <v>200</v>
      </c>
      <c r="I11" s="2">
        <v>9455.98</v>
      </c>
      <c r="J11" s="2">
        <v>9780.7800000000007</v>
      </c>
      <c r="K11" s="2">
        <v>-324.80000000000109</v>
      </c>
      <c r="L11" s="736">
        <v>-3.3207985457192626E-2</v>
      </c>
      <c r="M11" s="2">
        <v>-324.80000000000109</v>
      </c>
      <c r="N11">
        <v>150</v>
      </c>
      <c r="O11" t="s">
        <v>1199</v>
      </c>
      <c r="P11" s="736">
        <v>1.9900000000000001E-2</v>
      </c>
      <c r="Q11" s="736">
        <v>6.1999999999999998E-3</v>
      </c>
      <c r="R11" s="2">
        <v>18.184576923076921</v>
      </c>
      <c r="S11" s="48"/>
      <c r="T11" s="48"/>
      <c r="V11" s="48"/>
    </row>
    <row r="12" spans="1:41" ht="21.95" customHeight="1" x14ac:dyDescent="0.25">
      <c r="A12" s="50"/>
      <c r="B12" s="51"/>
      <c r="C12" s="51"/>
      <c r="D12" s="788"/>
      <c r="E12" s="22" t="s">
        <v>910</v>
      </c>
      <c r="F12" s="2">
        <v>134.3399</v>
      </c>
      <c r="G12" s="78">
        <v>125.24485714285711</v>
      </c>
      <c r="H12">
        <v>70</v>
      </c>
      <c r="I12" s="2">
        <v>9403.7929999999997</v>
      </c>
      <c r="J12" s="2">
        <v>8767.1399999999976</v>
      </c>
      <c r="K12" s="2">
        <v>636.65300000000207</v>
      </c>
      <c r="L12" s="736">
        <v>7.2618094384257828E-2</v>
      </c>
      <c r="M12" s="2">
        <v>636.65300000000207</v>
      </c>
      <c r="N12" s="29">
        <v>43311</v>
      </c>
      <c r="O12" t="s">
        <v>1201</v>
      </c>
      <c r="P12" s="736">
        <v>3.8707785252184942E-3</v>
      </c>
      <c r="Q12" s="736">
        <v>3.3E-3</v>
      </c>
      <c r="R12" s="2">
        <v>15.584675174013922</v>
      </c>
      <c r="S12" s="736"/>
    </row>
    <row r="13" spans="1:41" ht="21.95" customHeight="1" x14ac:dyDescent="0.25">
      <c r="A13" s="50"/>
      <c r="B13" s="50"/>
      <c r="C13" s="50"/>
      <c r="D13" s="788"/>
      <c r="E13" s="22" t="s">
        <v>171</v>
      </c>
      <c r="F13" s="2">
        <v>44.98</v>
      </c>
      <c r="G13" s="78">
        <v>50.134800000000006</v>
      </c>
      <c r="H13">
        <v>200</v>
      </c>
      <c r="I13" s="2">
        <v>8996</v>
      </c>
      <c r="J13" s="2">
        <v>10026.960000000001</v>
      </c>
      <c r="K13" s="2">
        <v>-1030.9599999999991</v>
      </c>
      <c r="L13" s="736">
        <v>-0.10281880051381492</v>
      </c>
      <c r="M13" s="2">
        <v>-981.00999999999931</v>
      </c>
      <c r="N13">
        <v>150</v>
      </c>
      <c r="O13"/>
      <c r="P13" s="736">
        <v>4.3574922187638955E-2</v>
      </c>
      <c r="Q13" s="854">
        <v>1.83E-2</v>
      </c>
      <c r="R13" s="2">
        <v>14.603896103896103</v>
      </c>
      <c r="S13" s="48"/>
      <c r="U13" s="48"/>
    </row>
    <row r="14" spans="1:41" ht="21.95" customHeight="1" x14ac:dyDescent="0.25">
      <c r="A14" s="50"/>
      <c r="B14" s="51"/>
      <c r="C14" s="51"/>
      <c r="D14" s="788"/>
      <c r="E14" s="22" t="s">
        <v>687</v>
      </c>
      <c r="F14" s="2">
        <v>249.98990000000001</v>
      </c>
      <c r="G14" s="78">
        <v>107.98333333333382</v>
      </c>
      <c r="H14">
        <v>30</v>
      </c>
      <c r="I14" s="2">
        <v>7499.6970000000001</v>
      </c>
      <c r="J14" s="2">
        <v>3239.5000000000146</v>
      </c>
      <c r="K14" s="2">
        <v>4260.1969999999856</v>
      </c>
      <c r="L14" s="736">
        <v>1.3150785615063949</v>
      </c>
      <c r="M14" s="2">
        <v>4484.966999999986</v>
      </c>
      <c r="N14" s="29">
        <v>43314</v>
      </c>
      <c r="O14" t="s">
        <v>1158</v>
      </c>
      <c r="P14" s="736">
        <v>0</v>
      </c>
      <c r="Q14" s="736">
        <v>-7.4999999999999997E-3</v>
      </c>
      <c r="R14" s="2">
        <v>25.530014297385623</v>
      </c>
      <c r="S14" s="736"/>
    </row>
    <row r="15" spans="1:41" ht="21.95" customHeight="1" x14ac:dyDescent="0.25">
      <c r="A15" s="50"/>
      <c r="B15" s="50"/>
      <c r="C15" s="51"/>
      <c r="D15" s="788"/>
      <c r="E15" s="22" t="s">
        <v>173</v>
      </c>
      <c r="F15" s="78">
        <v>58.63</v>
      </c>
      <c r="G15" s="78">
        <v>47.821833333333387</v>
      </c>
      <c r="H15">
        <v>120</v>
      </c>
      <c r="I15" s="2">
        <v>7035.6</v>
      </c>
      <c r="J15" s="2">
        <v>5738.6200000000063</v>
      </c>
      <c r="K15" s="2">
        <v>1296.9799999999941</v>
      </c>
      <c r="L15" s="736">
        <v>0.22600904050102505</v>
      </c>
      <c r="M15" s="2">
        <v>2901.5599999999959</v>
      </c>
      <c r="N15" s="29">
        <v>43325</v>
      </c>
      <c r="O15"/>
      <c r="P15" s="736">
        <v>2.933651714139519E-2</v>
      </c>
      <c r="Q15" s="854">
        <v>5.4999999999999997E-3</v>
      </c>
      <c r="R15" s="2">
        <v>12.9712389380531</v>
      </c>
      <c r="S15" s="48"/>
      <c r="T15" s="345"/>
      <c r="U15" s="345"/>
    </row>
    <row r="16" spans="1:41" ht="21.95" customHeight="1" x14ac:dyDescent="0.25">
      <c r="A16" s="60"/>
      <c r="B16" s="61"/>
      <c r="C16" s="60"/>
      <c r="D16" s="788"/>
      <c r="E16" s="22" t="s">
        <v>272</v>
      </c>
      <c r="F16" s="2">
        <v>66.669899999999998</v>
      </c>
      <c r="G16" s="78">
        <v>64.88</v>
      </c>
      <c r="H16">
        <v>100</v>
      </c>
      <c r="I16" s="2">
        <v>6666.99</v>
      </c>
      <c r="J16" s="2">
        <v>6488</v>
      </c>
      <c r="K16" s="2">
        <v>178.98999999999978</v>
      </c>
      <c r="L16" s="736">
        <v>2.7587854500616571E-2</v>
      </c>
      <c r="M16" s="2">
        <v>376.19999999999527</v>
      </c>
      <c r="N16" s="29">
        <v>43332</v>
      </c>
      <c r="O16" t="s">
        <v>1230</v>
      </c>
      <c r="P16" s="736">
        <v>2.5499999999999998E-2</v>
      </c>
      <c r="Q16" s="736">
        <v>5.0000000000000001E-3</v>
      </c>
      <c r="R16" s="2">
        <v>9.5584086021505374</v>
      </c>
      <c r="S16" s="736"/>
      <c r="U16" s="48"/>
      <c r="V16" s="48"/>
    </row>
    <row r="17" spans="1:41" ht="21.95" customHeight="1" x14ac:dyDescent="0.25">
      <c r="A17" s="50"/>
      <c r="B17" s="50"/>
      <c r="C17" s="51"/>
      <c r="D17" s="788"/>
      <c r="E17" s="22" t="s">
        <v>267</v>
      </c>
      <c r="F17" s="2">
        <v>131.55000000000001</v>
      </c>
      <c r="G17" s="78">
        <v>118.6816</v>
      </c>
      <c r="H17">
        <v>50</v>
      </c>
      <c r="I17" s="2">
        <v>6577.5000000000009</v>
      </c>
      <c r="J17" s="2">
        <v>5934.08</v>
      </c>
      <c r="K17" s="2">
        <v>643.42000000000098</v>
      </c>
      <c r="L17" s="736">
        <v>0.10842792817083699</v>
      </c>
      <c r="M17" s="2">
        <v>798.20000000000073</v>
      </c>
      <c r="N17" s="29">
        <v>43325</v>
      </c>
      <c r="O17"/>
      <c r="P17" s="736">
        <v>2.5700000000000001E-2</v>
      </c>
      <c r="Q17" s="854">
        <v>9.7999999999999997E-3</v>
      </c>
      <c r="R17" s="2">
        <v>16.20073891625616</v>
      </c>
      <c r="T17" s="48"/>
      <c r="U17" s="48"/>
      <c r="X17"/>
      <c r="Y17"/>
      <c r="Z17"/>
      <c r="AA17" s="2"/>
      <c r="AB17"/>
      <c r="AC17"/>
      <c r="AD17" s="2"/>
      <c r="AE17"/>
      <c r="AF17"/>
      <c r="AG17" s="2"/>
      <c r="AH17"/>
      <c r="AI17" s="2"/>
      <c r="AJ17"/>
      <c r="AK17"/>
      <c r="AL17"/>
      <c r="AM17"/>
      <c r="AN17"/>
      <c r="AO17"/>
    </row>
    <row r="18" spans="1:41" ht="21.95" customHeight="1" x14ac:dyDescent="0.25">
      <c r="A18" s="51"/>
      <c r="B18" s="50"/>
      <c r="C18" s="51"/>
      <c r="D18" s="788"/>
      <c r="E18" s="22" t="s">
        <v>933</v>
      </c>
      <c r="F18" s="2">
        <v>60.26</v>
      </c>
      <c r="G18" s="78">
        <v>59.394100000000002</v>
      </c>
      <c r="H18">
        <v>100</v>
      </c>
      <c r="I18" s="2">
        <v>6026</v>
      </c>
      <c r="J18" s="2">
        <v>5939.41</v>
      </c>
      <c r="K18" s="2">
        <v>86.590000000000146</v>
      </c>
      <c r="L18" s="736">
        <v>1.4578889148922138E-2</v>
      </c>
      <c r="M18" s="2">
        <v>86.590000000000146</v>
      </c>
      <c r="N18" s="29">
        <v>43336</v>
      </c>
      <c r="O18"/>
      <c r="P18" s="736">
        <v>4.1486890142714901E-2</v>
      </c>
      <c r="Q18" s="736">
        <v>-3.5999999999999999E-3</v>
      </c>
      <c r="R18" s="2">
        <v>15.899736147757256</v>
      </c>
      <c r="S18" s="736"/>
      <c r="T18" s="48"/>
    </row>
    <row r="19" spans="1:41" ht="21.95" customHeight="1" x14ac:dyDescent="0.25">
      <c r="A19" s="51"/>
      <c r="B19" s="152"/>
      <c r="C19" s="325"/>
      <c r="D19" s="788"/>
      <c r="E19" s="22" t="s">
        <v>1220</v>
      </c>
      <c r="F19" s="2">
        <v>2807.0702999999999</v>
      </c>
      <c r="G19" s="78">
        <v>2868</v>
      </c>
      <c r="H19">
        <v>2</v>
      </c>
      <c r="I19" s="2">
        <v>5614.1405999999997</v>
      </c>
      <c r="J19" s="2">
        <v>5736</v>
      </c>
      <c r="K19" s="2">
        <v>-121.85940000000028</v>
      </c>
      <c r="L19" s="736">
        <v>-2.1244665271966577E-2</v>
      </c>
      <c r="M19" s="2">
        <v>-121.85940000000028</v>
      </c>
      <c r="N19" s="29">
        <v>43332</v>
      </c>
      <c r="O19"/>
      <c r="P19" s="736">
        <v>0</v>
      </c>
      <c r="Q19" s="736">
        <v>-1.34E-2</v>
      </c>
      <c r="R19" s="2"/>
      <c r="T19" s="48"/>
      <c r="X19" s="736"/>
      <c r="Y19"/>
      <c r="Z19"/>
      <c r="AA19" s="2"/>
      <c r="AB19"/>
      <c r="AC19"/>
      <c r="AD19" s="2"/>
      <c r="AE19"/>
      <c r="AF19"/>
      <c r="AG19" s="2"/>
      <c r="AH19"/>
      <c r="AI19" s="2"/>
      <c r="AJ19"/>
      <c r="AK19"/>
      <c r="AL19"/>
      <c r="AM19" s="2"/>
      <c r="AN19"/>
      <c r="AO19"/>
    </row>
    <row r="20" spans="1:41" ht="21.95" customHeight="1" x14ac:dyDescent="0.25">
      <c r="A20" s="50"/>
      <c r="B20" s="50"/>
      <c r="C20" s="51"/>
      <c r="D20" s="788"/>
      <c r="E20" s="22" t="s">
        <v>32</v>
      </c>
      <c r="F20" s="2">
        <v>54.459899999999998</v>
      </c>
      <c r="G20" s="78">
        <v>41.297200000000011</v>
      </c>
      <c r="H20">
        <v>100</v>
      </c>
      <c r="I20" s="2">
        <v>5445.99</v>
      </c>
      <c r="J20" s="2">
        <v>4129.7200000000012</v>
      </c>
      <c r="K20" s="2">
        <v>1316.2699999999986</v>
      </c>
      <c r="L20" s="736">
        <v>0.31873105198415347</v>
      </c>
      <c r="M20" s="2">
        <v>2514.7399999999957</v>
      </c>
      <c r="N20" s="29">
        <v>43311</v>
      </c>
      <c r="O20"/>
      <c r="P20" s="736">
        <v>2.2401803896077665E-2</v>
      </c>
      <c r="Q20" s="853">
        <v>8.8999999999999999E-3</v>
      </c>
      <c r="R20" s="2">
        <v>9.8569954751131217</v>
      </c>
      <c r="X20"/>
      <c r="Y20"/>
      <c r="Z20"/>
      <c r="AA20" s="2"/>
      <c r="AB20"/>
      <c r="AC20"/>
      <c r="AD20" s="2"/>
      <c r="AE20"/>
      <c r="AF20"/>
      <c r="AG20" s="2"/>
      <c r="AH20"/>
      <c r="AI20" s="2"/>
      <c r="AJ20"/>
      <c r="AK20"/>
      <c r="AL20"/>
      <c r="AM20"/>
      <c r="AN20"/>
      <c r="AO20"/>
    </row>
    <row r="21" spans="1:41" ht="21.95" customHeight="1" x14ac:dyDescent="0.25">
      <c r="A21" s="50"/>
      <c r="B21" s="50"/>
      <c r="C21" s="51"/>
      <c r="D21" s="788"/>
      <c r="E21" s="22" t="s">
        <v>1138</v>
      </c>
      <c r="F21" s="2">
        <v>53.989899999999999</v>
      </c>
      <c r="G21" s="78">
        <v>51.18</v>
      </c>
      <c r="H21">
        <v>100</v>
      </c>
      <c r="I21" s="2">
        <v>5398.99</v>
      </c>
      <c r="J21" s="2">
        <v>5118</v>
      </c>
      <c r="K21" s="2">
        <v>280.98999999999978</v>
      </c>
      <c r="L21" s="736">
        <v>5.4902305588120343E-2</v>
      </c>
      <c r="M21" s="2">
        <v>280.98999999999978</v>
      </c>
      <c r="N21" s="29">
        <v>43311</v>
      </c>
      <c r="O21"/>
      <c r="P21" s="736">
        <v>3.2598689754935649E-2</v>
      </c>
      <c r="Q21" s="855">
        <v>2.8E-3</v>
      </c>
      <c r="R21" s="2">
        <v>6.2633294663573089</v>
      </c>
      <c r="S21" s="736"/>
      <c r="T21" s="48"/>
    </row>
    <row r="22" spans="1:41" ht="21.95" customHeight="1" x14ac:dyDescent="0.25">
      <c r="A22" s="50"/>
      <c r="B22" s="51"/>
      <c r="C22" s="51"/>
      <c r="D22" s="788"/>
      <c r="E22" s="22" t="s">
        <v>950</v>
      </c>
      <c r="F22" s="2">
        <v>35.08</v>
      </c>
      <c r="G22" s="78">
        <v>29.954800000000009</v>
      </c>
      <c r="H22">
        <v>150</v>
      </c>
      <c r="I22" s="2">
        <v>5262</v>
      </c>
      <c r="J22" s="2">
        <v>4493.2200000000012</v>
      </c>
      <c r="K22" s="2">
        <v>768.77999999999884</v>
      </c>
      <c r="L22" s="736">
        <v>0.1710977873329145</v>
      </c>
      <c r="M22" s="2">
        <v>768.77999999999884</v>
      </c>
      <c r="N22">
        <v>50</v>
      </c>
      <c r="O22" t="s">
        <v>1127</v>
      </c>
      <c r="P22" s="736">
        <v>2.1664766248574687E-2</v>
      </c>
      <c r="Q22" s="736">
        <v>9.4999999999999998E-3</v>
      </c>
      <c r="R22" s="2">
        <v>14.032</v>
      </c>
      <c r="S22" s="48"/>
      <c r="U22" s="48"/>
    </row>
    <row r="23" spans="1:41" ht="21.95" customHeight="1" x14ac:dyDescent="0.25">
      <c r="A23" s="51"/>
      <c r="B23" s="51"/>
      <c r="C23" s="51"/>
      <c r="D23" s="788"/>
      <c r="E23" s="22" t="s">
        <v>773</v>
      </c>
      <c r="F23" s="2">
        <v>13.059900000000001</v>
      </c>
      <c r="G23" s="78">
        <v>14.744000000000002</v>
      </c>
      <c r="H23">
        <v>400</v>
      </c>
      <c r="I23" s="2">
        <v>5223.96</v>
      </c>
      <c r="J23" s="2">
        <v>5897.6</v>
      </c>
      <c r="K23" s="2">
        <v>-673.64000000000033</v>
      </c>
      <c r="L23" s="736">
        <v>-0.11422273467173091</v>
      </c>
      <c r="M23" s="2">
        <v>-673.64000000000033</v>
      </c>
      <c r="N23">
        <v>300</v>
      </c>
      <c r="O23"/>
      <c r="P23" s="736">
        <v>3.6753727057634432E-2</v>
      </c>
      <c r="Q23" s="736">
        <v>-6.8999999999999999E-3</v>
      </c>
      <c r="R23" s="2">
        <v>13.747263157894738</v>
      </c>
      <c r="S23" s="736"/>
      <c r="T23" s="48"/>
      <c r="V23" s="48"/>
      <c r="W23" s="48"/>
    </row>
    <row r="24" spans="1:41" ht="21.95" customHeight="1" x14ac:dyDescent="0.25">
      <c r="A24" s="50"/>
      <c r="B24" s="50"/>
      <c r="C24" s="51"/>
      <c r="D24" s="788"/>
      <c r="E24" s="22" t="s">
        <v>914</v>
      </c>
      <c r="F24" s="2">
        <v>76.299899999999994</v>
      </c>
      <c r="G24" s="78">
        <v>65.015000000000029</v>
      </c>
      <c r="H24">
        <v>60</v>
      </c>
      <c r="I24" s="2">
        <v>4577.9939999999997</v>
      </c>
      <c r="J24" s="2">
        <v>3900.9000000000019</v>
      </c>
      <c r="K24" s="2">
        <v>677.09399999999823</v>
      </c>
      <c r="L24" s="736">
        <v>0.17357379066369238</v>
      </c>
      <c r="M24" s="2">
        <v>677.09399999999823</v>
      </c>
      <c r="N24" s="29">
        <v>43332</v>
      </c>
      <c r="O24" t="s">
        <v>1203</v>
      </c>
      <c r="P24" s="736">
        <v>1.2581929989423316E-2</v>
      </c>
      <c r="Q24" s="736">
        <v>-9.7000000000000003E-3</v>
      </c>
      <c r="R24" s="2">
        <v>21.492929577464789</v>
      </c>
      <c r="S24" s="736"/>
    </row>
    <row r="25" spans="1:41" ht="21.95" customHeight="1" x14ac:dyDescent="0.25">
      <c r="A25" s="50"/>
      <c r="B25" s="51"/>
      <c r="C25" s="51"/>
      <c r="D25" s="788"/>
      <c r="E25" s="22" t="s">
        <v>952</v>
      </c>
      <c r="F25" s="2">
        <v>177.6199</v>
      </c>
      <c r="G25" s="78">
        <v>112.24000000000039</v>
      </c>
      <c r="H25">
        <v>15</v>
      </c>
      <c r="I25" s="2">
        <v>2664.2984999999999</v>
      </c>
      <c r="J25" s="2">
        <v>1683.6000000000058</v>
      </c>
      <c r="K25" s="2">
        <v>980.69849999999406</v>
      </c>
      <c r="L25" s="736">
        <v>0.58250089094796309</v>
      </c>
      <c r="M25" s="2">
        <v>980.69849999999406</v>
      </c>
      <c r="N25">
        <v>15</v>
      </c>
      <c r="O25"/>
      <c r="P25" s="736">
        <v>7.2063997333632101E-3</v>
      </c>
      <c r="Q25" s="736">
        <v>-1.35E-2</v>
      </c>
      <c r="R25" s="2">
        <v>19.68</v>
      </c>
      <c r="S25" s="736"/>
      <c r="T25" s="48"/>
      <c r="U25" s="48"/>
    </row>
    <row r="26" spans="1:41" ht="21.95" customHeight="1" x14ac:dyDescent="0.25">
      <c r="A26" s="50"/>
      <c r="B26" s="50"/>
      <c r="C26" s="51"/>
      <c r="D26" s="788"/>
      <c r="E26" s="22" t="s">
        <v>937</v>
      </c>
      <c r="F26" s="78">
        <v>47.35</v>
      </c>
      <c r="G26" s="78">
        <v>13.543400000000037</v>
      </c>
      <c r="H26">
        <v>50</v>
      </c>
      <c r="I26" s="2">
        <v>2367.5</v>
      </c>
      <c r="J26" s="2">
        <v>677.17000000000189</v>
      </c>
      <c r="K26" s="2">
        <v>1690.3299999999981</v>
      </c>
      <c r="L26" s="736">
        <v>2.4961678751273584</v>
      </c>
      <c r="M26" s="2">
        <v>1690.3299999999981</v>
      </c>
      <c r="N26" s="29">
        <v>43335</v>
      </c>
      <c r="O26"/>
      <c r="P26" s="736">
        <v>2.9144667370644136E-2</v>
      </c>
      <c r="Q26" s="736">
        <v>-2.5700000000000001E-2</v>
      </c>
      <c r="R26" s="2">
        <v>10.761363636363637</v>
      </c>
      <c r="S26" s="736"/>
      <c r="X26"/>
      <c r="Y26"/>
      <c r="Z26"/>
      <c r="AA26" s="2"/>
      <c r="AB26"/>
      <c r="AC26"/>
      <c r="AD26" s="2"/>
      <c r="AE26"/>
      <c r="AF26"/>
      <c r="AG26" s="2"/>
      <c r="AH26"/>
      <c r="AI26" s="2"/>
      <c r="AJ26"/>
      <c r="AK26"/>
      <c r="AL26"/>
      <c r="AM26"/>
      <c r="AN26"/>
      <c r="AO26"/>
    </row>
    <row r="27" spans="1:41" ht="21.95" customHeight="1" x14ac:dyDescent="0.25">
      <c r="A27" s="50"/>
      <c r="B27" s="50"/>
      <c r="C27" s="51"/>
      <c r="D27" s="788"/>
      <c r="E27" s="22" t="s">
        <v>62</v>
      </c>
      <c r="F27" s="2">
        <v>344.82</v>
      </c>
      <c r="G27" s="78">
        <v>344.82</v>
      </c>
      <c r="H27">
        <v>0</v>
      </c>
      <c r="I27" s="2">
        <v>0</v>
      </c>
      <c r="J27" s="2">
        <v>0</v>
      </c>
      <c r="K27" s="2">
        <v>0</v>
      </c>
      <c r="L27" s="736">
        <v>0</v>
      </c>
      <c r="M27" s="2">
        <v>1659.3600000000079</v>
      </c>
      <c r="N27">
        <v>0</v>
      </c>
      <c r="O27"/>
      <c r="P27" s="736">
        <v>0</v>
      </c>
      <c r="Q27" s="736">
        <v>-2.5899999999999999E-2</v>
      </c>
      <c r="R27" s="2"/>
      <c r="S27" s="48"/>
      <c r="U27" s="48"/>
    </row>
    <row r="28" spans="1:41" ht="21.95" customHeight="1" x14ac:dyDescent="0.25">
      <c r="A28" s="50"/>
      <c r="B28" s="51"/>
      <c r="C28" s="51"/>
      <c r="D28" s="788"/>
      <c r="E28" s="22" t="s">
        <v>202</v>
      </c>
      <c r="F28" s="2">
        <v>36.67</v>
      </c>
      <c r="G28" s="78">
        <v>36.67</v>
      </c>
      <c r="H28">
        <v>0</v>
      </c>
      <c r="I28" s="2">
        <v>0</v>
      </c>
      <c r="J28" s="2">
        <v>0</v>
      </c>
      <c r="K28" s="2">
        <v>0</v>
      </c>
      <c r="L28" s="736">
        <v>0</v>
      </c>
      <c r="M28" s="2">
        <v>555.54</v>
      </c>
      <c r="N28">
        <v>0</v>
      </c>
      <c r="O28"/>
      <c r="P28" s="736">
        <v>0</v>
      </c>
      <c r="Q28" s="736">
        <v>-1.1900000000000001E-2</v>
      </c>
      <c r="R28" s="2"/>
      <c r="T28" s="48"/>
    </row>
    <row r="29" spans="1:41" ht="21.95" customHeight="1" x14ac:dyDescent="0.25">
      <c r="A29" s="50"/>
      <c r="B29" s="50"/>
      <c r="C29" s="51"/>
      <c r="D29" s="788"/>
      <c r="E29" s="22" t="s">
        <v>212</v>
      </c>
      <c r="F29" s="2">
        <v>59.52</v>
      </c>
      <c r="G29" s="78">
        <v>59.52</v>
      </c>
      <c r="H29">
        <v>0</v>
      </c>
      <c r="I29" s="2">
        <v>0</v>
      </c>
      <c r="J29" s="2">
        <v>0</v>
      </c>
      <c r="K29" s="2">
        <v>973.83000000000175</v>
      </c>
      <c r="L29" s="736">
        <v>0</v>
      </c>
      <c r="M29" s="2">
        <v>2131.6999999999971</v>
      </c>
      <c r="N29">
        <v>0</v>
      </c>
      <c r="O29" t="s">
        <v>1219</v>
      </c>
      <c r="P29" s="736">
        <v>2.4865591397849461E-2</v>
      </c>
      <c r="Q29" s="736">
        <v>-8.8000000000000005E-3</v>
      </c>
      <c r="R29" s="2">
        <v>14.88</v>
      </c>
      <c r="S29" s="48"/>
      <c r="T29" s="48"/>
      <c r="U29" s="48"/>
    </row>
    <row r="30" spans="1:41" ht="21.95" customHeight="1" x14ac:dyDescent="0.25">
      <c r="A30" s="50"/>
      <c r="B30" s="50"/>
      <c r="C30" s="51"/>
      <c r="D30" s="788"/>
      <c r="E30" s="22" t="s">
        <v>201</v>
      </c>
      <c r="F30" s="2">
        <v>190.35</v>
      </c>
      <c r="G30" s="78">
        <v>190.35</v>
      </c>
      <c r="H30">
        <v>0</v>
      </c>
      <c r="I30" s="2">
        <v>0</v>
      </c>
      <c r="J30" s="2">
        <v>0</v>
      </c>
      <c r="K30" s="2">
        <v>0</v>
      </c>
      <c r="L30" s="736">
        <v>0</v>
      </c>
      <c r="M30" s="2">
        <v>363.09999999999945</v>
      </c>
      <c r="N30">
        <v>0</v>
      </c>
      <c r="O30"/>
      <c r="P30" s="736">
        <v>1.5900000000000001E-2</v>
      </c>
      <c r="Q30" s="854">
        <v>-1.1999999999999999E-3</v>
      </c>
      <c r="R30" s="2"/>
      <c r="T30" s="48"/>
      <c r="U30" s="48"/>
      <c r="V30" s="48"/>
      <c r="X30"/>
      <c r="Y30"/>
      <c r="Z30"/>
      <c r="AA30" s="2"/>
      <c r="AB30"/>
      <c r="AC30"/>
      <c r="AD30" s="2"/>
      <c r="AE30"/>
      <c r="AF30"/>
      <c r="AG30" s="2"/>
      <c r="AH30"/>
      <c r="AI30" s="2"/>
      <c r="AJ30"/>
      <c r="AK30"/>
      <c r="AL30"/>
      <c r="AM30" s="2"/>
      <c r="AN30"/>
      <c r="AO30"/>
    </row>
    <row r="31" spans="1:41" ht="21.95" customHeight="1" x14ac:dyDescent="0.25">
      <c r="A31" s="50"/>
      <c r="B31" s="50"/>
      <c r="C31" s="51"/>
      <c r="D31" s="788"/>
      <c r="E31" s="22" t="s">
        <v>223</v>
      </c>
      <c r="F31" s="2">
        <v>99.91</v>
      </c>
      <c r="G31" s="78">
        <v>99.91</v>
      </c>
      <c r="H31">
        <v>0</v>
      </c>
      <c r="I31" s="2">
        <v>0</v>
      </c>
      <c r="J31" s="2">
        <v>0</v>
      </c>
      <c r="K31" s="2">
        <v>0</v>
      </c>
      <c r="L31" s="736">
        <v>0</v>
      </c>
      <c r="M31" s="2">
        <v>231.53999999999996</v>
      </c>
      <c r="N31">
        <v>0</v>
      </c>
      <c r="O31"/>
      <c r="P31" s="736">
        <v>1.6199999999999999E-2</v>
      </c>
      <c r="Q31" s="854">
        <v>0</v>
      </c>
      <c r="R31" s="2"/>
      <c r="S31" s="736"/>
      <c r="U31" s="48"/>
    </row>
    <row r="32" spans="1:41" ht="21.95" customHeight="1" x14ac:dyDescent="0.25">
      <c r="A32" s="50"/>
      <c r="B32" s="50"/>
      <c r="C32" s="51"/>
      <c r="D32" s="788"/>
      <c r="E32" s="22" t="s">
        <v>263</v>
      </c>
      <c r="F32" s="2">
        <v>100.01</v>
      </c>
      <c r="G32" s="78">
        <v>100.01</v>
      </c>
      <c r="H32">
        <v>0</v>
      </c>
      <c r="I32" s="2">
        <v>0</v>
      </c>
      <c r="J32" s="2">
        <v>0</v>
      </c>
      <c r="K32" s="2">
        <v>0</v>
      </c>
      <c r="L32" s="736">
        <v>0</v>
      </c>
      <c r="M32" s="2">
        <v>1857.7799999999988</v>
      </c>
      <c r="N32">
        <v>0</v>
      </c>
      <c r="O32"/>
      <c r="P32" s="736">
        <v>1.49E-2</v>
      </c>
      <c r="Q32" s="854">
        <v>1.6500000000000001E-2</v>
      </c>
      <c r="R32" s="2"/>
      <c r="S32" s="48"/>
      <c r="T32" s="48"/>
      <c r="V32" s="48"/>
    </row>
    <row r="33" spans="1:41" ht="21.95" customHeight="1" x14ac:dyDescent="0.25">
      <c r="A33" s="51"/>
      <c r="B33" s="51"/>
      <c r="C33" s="51"/>
      <c r="D33" s="788"/>
      <c r="E33" s="22" t="s">
        <v>23</v>
      </c>
      <c r="F33" s="2">
        <v>37.1</v>
      </c>
      <c r="G33" s="78">
        <v>37.1</v>
      </c>
      <c r="H33">
        <v>0</v>
      </c>
      <c r="I33" s="2">
        <v>0</v>
      </c>
      <c r="J33" s="2">
        <v>0</v>
      </c>
      <c r="K33" s="2">
        <v>0</v>
      </c>
      <c r="L33" s="736">
        <v>0</v>
      </c>
      <c r="M33" s="2">
        <v>171.89999999999964</v>
      </c>
      <c r="N33">
        <v>0</v>
      </c>
      <c r="O33"/>
      <c r="P33" s="736">
        <v>0</v>
      </c>
      <c r="Q33" s="854">
        <v>-1.5699999999999999E-2</v>
      </c>
      <c r="R33" s="2"/>
      <c r="S33" s="736"/>
      <c r="T33" s="48"/>
    </row>
    <row r="34" spans="1:41" ht="21.95" customHeight="1" x14ac:dyDescent="0.25">
      <c r="A34" s="51"/>
      <c r="B34" s="51"/>
      <c r="C34" s="51"/>
      <c r="D34" s="788"/>
      <c r="E34" s="22" t="s">
        <v>264</v>
      </c>
      <c r="F34" s="2">
        <v>49.77</v>
      </c>
      <c r="G34" s="78">
        <v>49.77</v>
      </c>
      <c r="H34">
        <v>0</v>
      </c>
      <c r="I34" s="2">
        <v>0</v>
      </c>
      <c r="J34" s="2">
        <v>0</v>
      </c>
      <c r="K34" s="2">
        <v>0</v>
      </c>
      <c r="L34" s="736">
        <v>0</v>
      </c>
      <c r="M34" s="2">
        <v>98.449999999999818</v>
      </c>
      <c r="N34">
        <v>0</v>
      </c>
      <c r="O34"/>
      <c r="P34" s="736">
        <v>1.11E-2</v>
      </c>
      <c r="Q34" s="736">
        <v>4.1999999999999997E-3</v>
      </c>
      <c r="R34" s="2"/>
      <c r="S34" s="736"/>
      <c r="T34" s="48"/>
      <c r="U34" s="48"/>
    </row>
    <row r="35" spans="1:41" ht="21.95" customHeight="1" x14ac:dyDescent="0.25">
      <c r="A35" s="50"/>
      <c r="B35" s="50"/>
      <c r="C35" s="51"/>
      <c r="D35" s="788"/>
      <c r="E35" s="22" t="s">
        <v>323</v>
      </c>
      <c r="F35" s="2">
        <v>11.51</v>
      </c>
      <c r="G35" s="78">
        <v>11.51</v>
      </c>
      <c r="H35">
        <v>0</v>
      </c>
      <c r="I35" s="2">
        <v>0</v>
      </c>
      <c r="J35" s="2">
        <v>0</v>
      </c>
      <c r="K35" s="2">
        <v>-1184.9399999999987</v>
      </c>
      <c r="L35" s="736">
        <v>0</v>
      </c>
      <c r="M35" s="2">
        <v>98.479999999995925</v>
      </c>
      <c r="N35">
        <v>0</v>
      </c>
      <c r="O35"/>
      <c r="P35" s="736">
        <v>0</v>
      </c>
      <c r="Q35" s="736">
        <v>-1.9599999999999999E-2</v>
      </c>
      <c r="R35" s="2">
        <v>35.96875</v>
      </c>
      <c r="S35" s="736"/>
      <c r="T35" s="48"/>
      <c r="V35" s="48"/>
    </row>
    <row r="36" spans="1:41" ht="21.95" customHeight="1" x14ac:dyDescent="0.25">
      <c r="A36" s="50"/>
      <c r="B36" s="50"/>
      <c r="C36" s="51"/>
      <c r="D36" s="788"/>
      <c r="E36" s="22" t="s">
        <v>36</v>
      </c>
      <c r="F36" s="78">
        <v>53</v>
      </c>
      <c r="G36" s="78">
        <v>53</v>
      </c>
      <c r="H36">
        <v>0</v>
      </c>
      <c r="I36" s="2">
        <v>0</v>
      </c>
      <c r="J36" s="2">
        <v>0</v>
      </c>
      <c r="K36" s="2">
        <v>0</v>
      </c>
      <c r="L36" s="736">
        <v>0</v>
      </c>
      <c r="M36" s="2">
        <v>117.73999999999978</v>
      </c>
      <c r="N36">
        <v>0</v>
      </c>
      <c r="O36"/>
      <c r="P36" s="736">
        <v>0</v>
      </c>
      <c r="Q36" s="736">
        <v>-4.8999999999999998E-3</v>
      </c>
      <c r="R36" s="2"/>
      <c r="S36" s="48"/>
      <c r="T36" s="48"/>
      <c r="V36" s="48"/>
      <c r="X36"/>
      <c r="Y36"/>
      <c r="Z36"/>
      <c r="AA36" s="2"/>
      <c r="AB36"/>
      <c r="AC36"/>
      <c r="AD36" s="2"/>
      <c r="AE36"/>
      <c r="AF36"/>
      <c r="AG36" s="2"/>
      <c r="AH36"/>
      <c r="AI36" s="2"/>
      <c r="AJ36"/>
      <c r="AK36"/>
      <c r="AL36"/>
      <c r="AM36"/>
      <c r="AN36"/>
      <c r="AO36"/>
    </row>
    <row r="37" spans="1:41" ht="21.95" customHeight="1" x14ac:dyDescent="0.25">
      <c r="A37" s="50"/>
      <c r="B37" s="50"/>
      <c r="C37" s="51"/>
      <c r="D37" s="788"/>
      <c r="E37" s="22" t="s">
        <v>311</v>
      </c>
      <c r="F37" s="2">
        <v>41.72</v>
      </c>
      <c r="G37" s="78">
        <v>41.72</v>
      </c>
      <c r="H37">
        <v>0</v>
      </c>
      <c r="I37" s="2">
        <v>0</v>
      </c>
      <c r="J37" s="2">
        <v>0</v>
      </c>
      <c r="K37" s="2">
        <v>0</v>
      </c>
      <c r="L37" s="736">
        <v>0</v>
      </c>
      <c r="M37" s="2">
        <v>264.92000000000007</v>
      </c>
      <c r="N37">
        <v>0</v>
      </c>
      <c r="O37"/>
      <c r="P37" s="736">
        <v>3.4200000000000001E-2</v>
      </c>
      <c r="Q37" s="736">
        <v>2.18E-2</v>
      </c>
      <c r="R37" s="2"/>
    </row>
    <row r="38" spans="1:41" ht="21.95" customHeight="1" x14ac:dyDescent="0.25">
      <c r="A38" s="50"/>
      <c r="B38" s="50"/>
      <c r="C38" s="51"/>
      <c r="D38" s="788"/>
      <c r="E38" s="22" t="s">
        <v>296</v>
      </c>
      <c r="F38" s="2">
        <v>56.18</v>
      </c>
      <c r="G38" s="78">
        <v>56.18</v>
      </c>
      <c r="H38">
        <v>0</v>
      </c>
      <c r="I38" s="2">
        <v>0</v>
      </c>
      <c r="J38" s="2">
        <v>0</v>
      </c>
      <c r="K38" s="2">
        <v>0</v>
      </c>
      <c r="L38" s="736">
        <v>0</v>
      </c>
      <c r="M38" s="2">
        <v>910.79999999999927</v>
      </c>
      <c r="N38">
        <v>0</v>
      </c>
      <c r="O38"/>
      <c r="P38" s="736">
        <v>2.87E-2</v>
      </c>
      <c r="Q38" s="854">
        <v>-4.7999999999999996E-3</v>
      </c>
      <c r="R38" s="2"/>
      <c r="S38" s="48"/>
      <c r="T38" s="48"/>
    </row>
    <row r="39" spans="1:41" ht="21.95" customHeight="1" x14ac:dyDescent="0.25">
      <c r="A39" s="50"/>
      <c r="B39" s="50"/>
      <c r="C39" s="51"/>
      <c r="D39" s="788"/>
      <c r="E39" s="22" t="s">
        <v>686</v>
      </c>
      <c r="F39" s="2">
        <v>31.01</v>
      </c>
      <c r="G39" s="78">
        <v>31.01</v>
      </c>
      <c r="H39">
        <v>0</v>
      </c>
      <c r="I39" s="2">
        <v>0</v>
      </c>
      <c r="J39" s="2">
        <v>0</v>
      </c>
      <c r="K39" s="2">
        <v>0</v>
      </c>
      <c r="L39" s="736">
        <v>0</v>
      </c>
      <c r="M39" s="2">
        <v>557.94000000000005</v>
      </c>
      <c r="N39">
        <v>0</v>
      </c>
      <c r="O39"/>
      <c r="P39" s="736">
        <v>4.0599999999999997E-2</v>
      </c>
      <c r="Q39" s="854">
        <v>1.41E-2</v>
      </c>
      <c r="R39" s="2"/>
      <c r="S39" s="736"/>
      <c r="T39" s="48"/>
      <c r="U39" s="48"/>
    </row>
    <row r="40" spans="1:41" ht="21.95" customHeight="1" x14ac:dyDescent="0.25">
      <c r="A40" s="50"/>
      <c r="B40" s="51"/>
      <c r="C40" s="51"/>
      <c r="D40" s="788"/>
      <c r="E40" s="22" t="s">
        <v>245</v>
      </c>
      <c r="F40" s="2">
        <v>75.83</v>
      </c>
      <c r="G40" s="78">
        <v>75.83</v>
      </c>
      <c r="H40">
        <v>0</v>
      </c>
      <c r="I40" s="2">
        <v>0</v>
      </c>
      <c r="J40" s="2">
        <v>0</v>
      </c>
      <c r="K40" s="2">
        <v>0</v>
      </c>
      <c r="L40" s="736">
        <v>0</v>
      </c>
      <c r="M40" s="2">
        <v>329.74000000000069</v>
      </c>
      <c r="N40">
        <v>0</v>
      </c>
      <c r="O40"/>
      <c r="P40" s="736">
        <v>0</v>
      </c>
      <c r="Q40" s="854">
        <v>-5.1999999999999998E-3</v>
      </c>
      <c r="R40" s="2"/>
      <c r="S40" s="48"/>
      <c r="T40" s="48"/>
      <c r="U40" s="48"/>
      <c r="V40" s="48"/>
    </row>
    <row r="41" spans="1:41" ht="21.95" customHeight="1" x14ac:dyDescent="0.25">
      <c r="A41" s="50"/>
      <c r="B41" s="50"/>
      <c r="C41" s="50"/>
      <c r="D41" s="788"/>
      <c r="E41" s="22" t="s">
        <v>665</v>
      </c>
      <c r="F41" s="2">
        <v>17.739999999999998</v>
      </c>
      <c r="G41" s="78">
        <v>17.739999999999998</v>
      </c>
      <c r="H41">
        <v>0</v>
      </c>
      <c r="I41" s="2">
        <v>0</v>
      </c>
      <c r="J41" s="2">
        <v>0</v>
      </c>
      <c r="K41" s="2">
        <v>0</v>
      </c>
      <c r="L41" s="736">
        <v>0</v>
      </c>
      <c r="M41" s="2">
        <v>309.26000000000022</v>
      </c>
      <c r="N41">
        <v>0</v>
      </c>
      <c r="O41"/>
      <c r="P41" s="736">
        <v>8.8000000000000005E-3</v>
      </c>
      <c r="Q41" s="854">
        <v>-2.8E-3</v>
      </c>
      <c r="R41" s="2"/>
      <c r="S41" s="736"/>
      <c r="U41" s="48"/>
      <c r="V41" s="48"/>
    </row>
    <row r="42" spans="1:41" ht="21.95" customHeight="1" x14ac:dyDescent="0.25">
      <c r="A42" s="51"/>
      <c r="B42" s="51"/>
      <c r="C42" s="51"/>
      <c r="D42" s="788"/>
      <c r="E42" s="22" t="s">
        <v>728</v>
      </c>
      <c r="F42" s="2">
        <v>248.63</v>
      </c>
      <c r="G42" s="78">
        <v>248.63</v>
      </c>
      <c r="H42">
        <v>0</v>
      </c>
      <c r="I42" s="2">
        <v>0</v>
      </c>
      <c r="J42" s="2">
        <v>0</v>
      </c>
      <c r="K42" s="2">
        <v>0</v>
      </c>
      <c r="L42" s="736">
        <v>0</v>
      </c>
      <c r="M42" s="2">
        <v>843.18000000000029</v>
      </c>
      <c r="N42">
        <v>0</v>
      </c>
      <c r="O42"/>
      <c r="P42" s="736">
        <v>2.8E-3</v>
      </c>
      <c r="Q42" s="736">
        <v>-4.5999999999999999E-3</v>
      </c>
      <c r="R42" s="2"/>
      <c r="S42" s="48"/>
      <c r="T42" s="48"/>
      <c r="V42" s="48"/>
      <c r="W42" s="48"/>
      <c r="X42"/>
      <c r="Y42"/>
      <c r="Z42"/>
      <c r="AA42" s="2"/>
      <c r="AB42"/>
      <c r="AC42"/>
      <c r="AD42" s="2"/>
      <c r="AE42"/>
      <c r="AF42"/>
      <c r="AG42" s="2"/>
      <c r="AH42"/>
      <c r="AI42" s="2"/>
      <c r="AJ42"/>
      <c r="AK42"/>
      <c r="AL42"/>
      <c r="AM42"/>
      <c r="AN42"/>
      <c r="AO42"/>
    </row>
    <row r="43" spans="1:41" ht="21.95" customHeight="1" x14ac:dyDescent="0.25">
      <c r="A43" s="50"/>
      <c r="B43" s="50"/>
      <c r="C43" s="51"/>
      <c r="D43" s="788"/>
      <c r="E43" s="22" t="s">
        <v>1035</v>
      </c>
      <c r="F43" s="78">
        <v>52.64</v>
      </c>
      <c r="G43" s="78">
        <v>52.64</v>
      </c>
      <c r="H43">
        <v>0</v>
      </c>
      <c r="I43" s="2">
        <v>0</v>
      </c>
      <c r="J43" s="2">
        <v>0</v>
      </c>
      <c r="K43" s="2">
        <v>458.44000000000051</v>
      </c>
      <c r="L43" s="736">
        <v>0</v>
      </c>
      <c r="M43" s="2">
        <v>458.44000000000051</v>
      </c>
      <c r="N43">
        <v>0</v>
      </c>
      <c r="O43"/>
      <c r="P43" s="736">
        <v>2.8495440729483283E-2</v>
      </c>
      <c r="Q43" s="852">
        <v>1.1900000000000001E-2</v>
      </c>
      <c r="R43" s="2"/>
      <c r="T43" s="48"/>
      <c r="U43" s="48"/>
    </row>
    <row r="44" spans="1:41" ht="21.95" customHeight="1" x14ac:dyDescent="0.25">
      <c r="A44" s="50"/>
      <c r="B44" s="50"/>
      <c r="C44" s="51"/>
      <c r="D44" s="788"/>
      <c r="E44" s="22" t="s">
        <v>196</v>
      </c>
      <c r="F44" s="2">
        <v>11.25</v>
      </c>
      <c r="G44" s="78">
        <v>11.25</v>
      </c>
      <c r="H44">
        <v>0</v>
      </c>
      <c r="I44" s="2">
        <v>0</v>
      </c>
      <c r="J44" s="2">
        <v>0</v>
      </c>
      <c r="K44" s="2">
        <v>0</v>
      </c>
      <c r="L44" s="736">
        <v>0</v>
      </c>
      <c r="M44" s="2">
        <v>495.20999999999913</v>
      </c>
      <c r="N44">
        <v>0</v>
      </c>
      <c r="O44"/>
      <c r="P44" s="736">
        <v>5.1499999999999997E-2</v>
      </c>
      <c r="Q44" s="854">
        <v>4.4999999999999997E-3</v>
      </c>
      <c r="R44" s="2"/>
      <c r="S44" s="48"/>
      <c r="U44" s="48"/>
    </row>
    <row r="45" spans="1:41" ht="21.95" customHeight="1" x14ac:dyDescent="0.25">
      <c r="A45" s="50"/>
      <c r="B45" s="50"/>
      <c r="C45" s="51"/>
      <c r="D45" s="788"/>
      <c r="E45" s="22" t="s">
        <v>820</v>
      </c>
      <c r="F45" s="78">
        <v>99.29</v>
      </c>
      <c r="G45" s="78">
        <v>99.29</v>
      </c>
      <c r="H45">
        <v>0</v>
      </c>
      <c r="I45" s="2">
        <v>0</v>
      </c>
      <c r="J45" s="2">
        <v>0</v>
      </c>
      <c r="K45" s="2">
        <v>604.30000000000109</v>
      </c>
      <c r="L45" s="736">
        <v>0</v>
      </c>
      <c r="M45" s="2">
        <v>604.30000000000109</v>
      </c>
      <c r="N45">
        <v>0</v>
      </c>
      <c r="O45" t="s">
        <v>1114</v>
      </c>
      <c r="P45" s="736">
        <v>6.8486252391983084E-3</v>
      </c>
      <c r="Q45" s="736">
        <v>-2.07E-2</v>
      </c>
      <c r="R45" s="2">
        <v>20.903157894736843</v>
      </c>
      <c r="S45" s="736"/>
      <c r="T45" s="48"/>
      <c r="X45"/>
      <c r="Y45"/>
      <c r="Z45"/>
      <c r="AA45" s="2"/>
      <c r="AB45"/>
      <c r="AC45"/>
      <c r="AD45" s="2"/>
      <c r="AE45"/>
      <c r="AF45"/>
      <c r="AG45" s="2"/>
      <c r="AH45"/>
      <c r="AI45" s="2"/>
      <c r="AJ45"/>
      <c r="AK45"/>
      <c r="AL45"/>
      <c r="AM45"/>
      <c r="AN45"/>
      <c r="AO45"/>
    </row>
    <row r="46" spans="1:41" ht="21.95" customHeight="1" x14ac:dyDescent="0.25">
      <c r="A46" s="50"/>
      <c r="B46" s="50"/>
      <c r="C46" s="51"/>
      <c r="D46" s="788"/>
      <c r="E46" s="22" t="s">
        <v>672</v>
      </c>
      <c r="F46" s="2">
        <v>140.65</v>
      </c>
      <c r="G46" s="78">
        <v>140.65</v>
      </c>
      <c r="H46">
        <v>0</v>
      </c>
      <c r="I46" s="2">
        <v>0</v>
      </c>
      <c r="J46" s="2">
        <v>0</v>
      </c>
      <c r="K46" s="2">
        <v>2714.0600000000013</v>
      </c>
      <c r="L46" s="736">
        <v>0</v>
      </c>
      <c r="M46" s="2">
        <v>2714.0600000000013</v>
      </c>
      <c r="N46">
        <v>0</v>
      </c>
      <c r="O46"/>
      <c r="P46" s="736">
        <v>2.8E-3</v>
      </c>
      <c r="Q46" s="736">
        <v>-2.0999999999999999E-3</v>
      </c>
      <c r="R46" s="2">
        <v>21.02391629297459</v>
      </c>
      <c r="S46" s="736"/>
      <c r="T46" s="48"/>
      <c r="U46" s="48"/>
    </row>
    <row r="47" spans="1:41" ht="21.95" customHeight="1" x14ac:dyDescent="0.25">
      <c r="A47" s="50"/>
      <c r="B47" s="50"/>
      <c r="C47" s="51"/>
      <c r="D47" s="788"/>
      <c r="E47" s="22" t="s">
        <v>951</v>
      </c>
      <c r="F47" s="2">
        <v>102.1</v>
      </c>
      <c r="G47" s="78">
        <v>102.1</v>
      </c>
      <c r="H47">
        <v>0</v>
      </c>
      <c r="I47" s="2">
        <v>0</v>
      </c>
      <c r="J47" s="2">
        <v>0</v>
      </c>
      <c r="K47" s="2">
        <v>500.88000000000011</v>
      </c>
      <c r="L47" s="736">
        <v>0</v>
      </c>
      <c r="M47" s="2">
        <v>500.88000000000011</v>
      </c>
      <c r="N47">
        <v>0</v>
      </c>
      <c r="O47"/>
      <c r="P47" s="736">
        <v>6.2683643486777674E-3</v>
      </c>
      <c r="Q47" s="852">
        <v>8.9999999999999998E-4</v>
      </c>
      <c r="R47" s="2">
        <v>13.834688346883468</v>
      </c>
      <c r="S47" s="736"/>
      <c r="T47" s="48"/>
      <c r="V47" s="48"/>
    </row>
    <row r="48" spans="1:41" ht="21.95" customHeight="1" x14ac:dyDescent="0.25">
      <c r="A48" s="51"/>
      <c r="B48" s="51"/>
      <c r="C48" s="51"/>
      <c r="D48" s="788"/>
      <c r="E48" s="22" t="s">
        <v>674</v>
      </c>
      <c r="F48" s="2">
        <v>210.94990000000001</v>
      </c>
      <c r="G48" s="78">
        <v>210.94990000000001</v>
      </c>
      <c r="H48">
        <v>0</v>
      </c>
      <c r="I48" s="2">
        <v>0</v>
      </c>
      <c r="J48" s="2">
        <v>0</v>
      </c>
      <c r="K48" s="2">
        <v>1411.7400000000016</v>
      </c>
      <c r="L48" s="736">
        <v>0</v>
      </c>
      <c r="M48" s="2">
        <v>1554.7700000000018</v>
      </c>
      <c r="N48">
        <v>0</v>
      </c>
      <c r="O48"/>
      <c r="P48" s="736">
        <v>2.370231035899993E-3</v>
      </c>
      <c r="Q48" s="852">
        <v>3.5999999999999999E-3</v>
      </c>
      <c r="R48" s="2">
        <v>30.750714285714285</v>
      </c>
      <c r="S48" s="736"/>
      <c r="U48" s="48"/>
    </row>
    <row r="49" spans="1:41" ht="21.95" customHeight="1" x14ac:dyDescent="0.25">
      <c r="A49" s="50"/>
      <c r="B49" s="50"/>
      <c r="C49" s="51"/>
      <c r="D49" s="788"/>
      <c r="E49" s="22" t="s">
        <v>17</v>
      </c>
      <c r="F49" s="78">
        <v>0</v>
      </c>
      <c r="G49" s="78">
        <v>0</v>
      </c>
      <c r="H49">
        <v>0</v>
      </c>
      <c r="I49" s="2">
        <v>0</v>
      </c>
      <c r="J49" s="2">
        <v>0</v>
      </c>
      <c r="K49" s="2">
        <v>-20818.210000000079</v>
      </c>
      <c r="L49" s="736"/>
      <c r="M49" s="2">
        <v>-20818.210000000079</v>
      </c>
      <c r="N49">
        <v>0</v>
      </c>
      <c r="O49"/>
      <c r="P49" s="736">
        <v>0</v>
      </c>
      <c r="Q49" s="736">
        <v>0</v>
      </c>
      <c r="R49" s="2"/>
      <c r="S49" s="48"/>
      <c r="T49" s="48"/>
    </row>
    <row r="50" spans="1:41" ht="21.95" customHeight="1" x14ac:dyDescent="0.25">
      <c r="A50" s="50"/>
      <c r="B50" s="50"/>
      <c r="C50" s="51"/>
      <c r="D50" s="788"/>
      <c r="E50" s="22" t="s">
        <v>305</v>
      </c>
      <c r="F50" s="2">
        <v>147.05000000000001</v>
      </c>
      <c r="G50" s="78">
        <v>147.05000000000001</v>
      </c>
      <c r="H50">
        <v>0</v>
      </c>
      <c r="I50" s="2">
        <v>0</v>
      </c>
      <c r="J50" s="2">
        <v>0</v>
      </c>
      <c r="K50" s="2">
        <v>0</v>
      </c>
      <c r="L50" s="736">
        <v>0</v>
      </c>
      <c r="M50" s="2">
        <v>720.56000000000131</v>
      </c>
      <c r="N50">
        <v>0</v>
      </c>
      <c r="O50"/>
      <c r="P50" s="736">
        <v>0</v>
      </c>
      <c r="Q50" s="854">
        <v>4.0000000000000002E-4</v>
      </c>
      <c r="R50" s="2"/>
      <c r="S50" s="736"/>
    </row>
    <row r="51" spans="1:41" ht="21.95" customHeight="1" x14ac:dyDescent="0.25">
      <c r="A51" s="51"/>
      <c r="B51" s="152"/>
      <c r="C51" s="325"/>
      <c r="D51" s="788"/>
      <c r="E51" s="22" t="s">
        <v>684</v>
      </c>
      <c r="F51" s="2">
        <v>95.03</v>
      </c>
      <c r="G51" s="78">
        <v>95.03</v>
      </c>
      <c r="H51">
        <v>0</v>
      </c>
      <c r="I51" s="2">
        <v>0</v>
      </c>
      <c r="J51" s="2">
        <v>0</v>
      </c>
      <c r="K51" s="2">
        <v>0</v>
      </c>
      <c r="L51" s="736">
        <v>0</v>
      </c>
      <c r="M51" s="2">
        <v>329.55999999999949</v>
      </c>
      <c r="N51">
        <v>0</v>
      </c>
      <c r="O51"/>
      <c r="P51" s="736">
        <v>1.78E-2</v>
      </c>
      <c r="Q51" s="854">
        <v>-7.0000000000000001E-3</v>
      </c>
      <c r="R51" s="2"/>
      <c r="S51" s="736"/>
      <c r="W51" s="48"/>
      <c r="X51"/>
      <c r="Y51"/>
      <c r="Z51"/>
      <c r="AA51" s="2"/>
      <c r="AB51"/>
      <c r="AC51"/>
      <c r="AD51" s="2"/>
      <c r="AE51"/>
      <c r="AF51"/>
      <c r="AG51" s="2"/>
      <c r="AH51"/>
      <c r="AI51" s="2"/>
      <c r="AJ51"/>
      <c r="AK51"/>
      <c r="AL51"/>
      <c r="AM51"/>
      <c r="AN51"/>
      <c r="AO51"/>
    </row>
    <row r="52" spans="1:41" ht="21.95" customHeight="1" x14ac:dyDescent="0.25">
      <c r="A52" s="50"/>
      <c r="B52" s="50"/>
      <c r="C52" s="51"/>
      <c r="D52" s="788"/>
      <c r="E52" s="22" t="s">
        <v>726</v>
      </c>
      <c r="F52" s="2">
        <v>692.68</v>
      </c>
      <c r="G52" s="78">
        <v>692.68</v>
      </c>
      <c r="H52">
        <v>0</v>
      </c>
      <c r="I52" s="2">
        <v>0</v>
      </c>
      <c r="J52" s="2">
        <v>0</v>
      </c>
      <c r="K52" s="2">
        <v>0</v>
      </c>
      <c r="L52" s="736">
        <v>0</v>
      </c>
      <c r="M52" s="2">
        <v>559.89000000000033</v>
      </c>
      <c r="N52">
        <v>0</v>
      </c>
      <c r="O52"/>
      <c r="P52" s="736">
        <v>0</v>
      </c>
      <c r="Q52" s="853">
        <v>3.0000000000000001E-3</v>
      </c>
      <c r="R52" s="2"/>
      <c r="S52" s="48"/>
    </row>
    <row r="53" spans="1:41" ht="21.95" customHeight="1" x14ac:dyDescent="0.25">
      <c r="A53" s="50"/>
      <c r="B53" s="50"/>
      <c r="C53" s="51"/>
      <c r="D53" s="788"/>
      <c r="E53" s="22" t="s">
        <v>936</v>
      </c>
      <c r="F53" s="2">
        <v>226</v>
      </c>
      <c r="G53" s="78">
        <v>226</v>
      </c>
      <c r="H53">
        <v>0</v>
      </c>
      <c r="I53" s="2">
        <v>0</v>
      </c>
      <c r="J53" s="2">
        <v>0</v>
      </c>
      <c r="K53" s="2">
        <v>137.51000000000022</v>
      </c>
      <c r="L53" s="736">
        <v>0</v>
      </c>
      <c r="M53" s="2">
        <v>137.51000000000022</v>
      </c>
      <c r="N53">
        <v>0</v>
      </c>
      <c r="O53"/>
      <c r="P53" s="736">
        <v>7.7876106194690268E-3</v>
      </c>
      <c r="Q53" s="736">
        <v>-6.1999999999999998E-3</v>
      </c>
      <c r="R53" s="2">
        <v>26.218097447795827</v>
      </c>
      <c r="S53" s="48"/>
    </row>
    <row r="54" spans="1:41" ht="21.95" customHeight="1" x14ac:dyDescent="0.25">
      <c r="A54" s="50"/>
      <c r="B54" s="51"/>
      <c r="C54" s="51"/>
      <c r="D54" s="788"/>
      <c r="E54" s="22" t="s">
        <v>913</v>
      </c>
      <c r="F54" s="2">
        <v>36.409999999999997</v>
      </c>
      <c r="G54" s="78">
        <v>36.409999999999997</v>
      </c>
      <c r="H54">
        <v>0</v>
      </c>
      <c r="I54" s="2">
        <v>0</v>
      </c>
      <c r="J54" s="2">
        <v>0</v>
      </c>
      <c r="K54" s="2">
        <v>845.78000000000065</v>
      </c>
      <c r="L54" s="736">
        <v>0</v>
      </c>
      <c r="M54" s="2">
        <v>845.78000000000065</v>
      </c>
      <c r="N54">
        <v>0</v>
      </c>
      <c r="O54"/>
      <c r="P54" s="736">
        <v>7.2507552870090641E-2</v>
      </c>
      <c r="Q54" s="854">
        <v>0</v>
      </c>
      <c r="R54" s="2"/>
      <c r="S54" s="48"/>
      <c r="T54" s="48"/>
      <c r="X54"/>
      <c r="Y54"/>
      <c r="Z54"/>
      <c r="AA54" s="2"/>
      <c r="AB54"/>
      <c r="AC54"/>
      <c r="AD54" s="2"/>
      <c r="AE54"/>
      <c r="AF54"/>
      <c r="AG54" s="2"/>
      <c r="AH54"/>
      <c r="AI54" s="2"/>
      <c r="AJ54"/>
      <c r="AK54"/>
      <c r="AL54"/>
      <c r="AM54"/>
      <c r="AN54"/>
      <c r="AO54"/>
    </row>
    <row r="55" spans="1:41" ht="21.95" customHeight="1" x14ac:dyDescent="0.25">
      <c r="A55" s="50"/>
      <c r="B55" s="50"/>
      <c r="C55" s="50"/>
      <c r="D55" s="788"/>
      <c r="E55" s="22" t="s">
        <v>909</v>
      </c>
      <c r="F55" s="2">
        <v>249.23</v>
      </c>
      <c r="G55" s="78">
        <v>249.23</v>
      </c>
      <c r="H55">
        <v>0</v>
      </c>
      <c r="I55" s="2">
        <v>0</v>
      </c>
      <c r="J55" s="2">
        <v>0</v>
      </c>
      <c r="K55" s="2">
        <v>423.00000000000364</v>
      </c>
      <c r="L55" s="736">
        <v>0</v>
      </c>
      <c r="M55" s="2">
        <v>423.00000000000364</v>
      </c>
      <c r="N55">
        <v>0</v>
      </c>
      <c r="O55"/>
      <c r="P55" s="736">
        <v>1.9900000000000001E-2</v>
      </c>
      <c r="Q55" s="736">
        <v>5.5999999999999999E-3</v>
      </c>
      <c r="R55" s="2">
        <v>16.34</v>
      </c>
      <c r="S55" s="736"/>
      <c r="X55"/>
      <c r="Y55"/>
      <c r="Z55"/>
      <c r="AA55" s="2"/>
      <c r="AB55"/>
      <c r="AC55"/>
      <c r="AD55" s="2"/>
      <c r="AE55"/>
      <c r="AF55"/>
      <c r="AG55" s="2"/>
      <c r="AH55"/>
      <c r="AI55" s="2"/>
      <c r="AJ55"/>
      <c r="AK55"/>
      <c r="AL55"/>
      <c r="AM55"/>
      <c r="AN55"/>
      <c r="AO55"/>
    </row>
    <row r="56" spans="1:41" ht="21.95" customHeight="1" x14ac:dyDescent="0.25">
      <c r="A56" s="50"/>
      <c r="B56" s="50"/>
      <c r="C56" s="51"/>
      <c r="D56" s="788"/>
      <c r="E56" s="22" t="s">
        <v>194</v>
      </c>
      <c r="F56" s="2">
        <v>77.569999999999993</v>
      </c>
      <c r="G56" s="78">
        <v>77.569999999999993</v>
      </c>
      <c r="H56">
        <v>0</v>
      </c>
      <c r="I56" s="2">
        <v>0</v>
      </c>
      <c r="J56" s="2">
        <v>0</v>
      </c>
      <c r="K56" s="2">
        <v>0</v>
      </c>
      <c r="L56" s="736">
        <v>0</v>
      </c>
      <c r="M56" s="2">
        <v>785.90999999999985</v>
      </c>
      <c r="N56">
        <v>0</v>
      </c>
      <c r="O56"/>
      <c r="P56" s="736">
        <v>1.29E-2</v>
      </c>
      <c r="Q56" s="854">
        <v>3.8E-3</v>
      </c>
      <c r="R56" s="2"/>
      <c r="S56" s="736"/>
      <c r="U56" s="48"/>
      <c r="V56" s="48"/>
    </row>
    <row r="57" spans="1:41" ht="21.95" customHeight="1" x14ac:dyDescent="0.25">
      <c r="A57" s="50"/>
      <c r="B57" s="50"/>
      <c r="C57" s="51"/>
      <c r="D57" s="788"/>
      <c r="E57" s="22" t="s">
        <v>222</v>
      </c>
      <c r="F57" s="78">
        <v>57.52</v>
      </c>
      <c r="G57" s="78">
        <v>57.52</v>
      </c>
      <c r="H57">
        <v>0</v>
      </c>
      <c r="I57" s="2">
        <v>0</v>
      </c>
      <c r="J57" s="2">
        <v>0</v>
      </c>
      <c r="K57" s="2">
        <v>0</v>
      </c>
      <c r="L57" s="736">
        <v>0</v>
      </c>
      <c r="M57" s="2">
        <v>257.64999999999964</v>
      </c>
      <c r="N57">
        <v>0</v>
      </c>
      <c r="O57"/>
      <c r="P57" s="736">
        <v>0</v>
      </c>
      <c r="Q57" s="736">
        <v>2.8E-3</v>
      </c>
      <c r="R57" s="2"/>
      <c r="V57" s="48"/>
    </row>
    <row r="58" spans="1:41" ht="21.95" customHeight="1" x14ac:dyDescent="0.25">
      <c r="A58" s="50"/>
      <c r="B58" s="50"/>
      <c r="C58" s="51"/>
      <c r="D58" s="788"/>
      <c r="E58" s="22" t="s">
        <v>815</v>
      </c>
      <c r="F58" s="2">
        <v>454.21</v>
      </c>
      <c r="G58" s="78">
        <v>454.21</v>
      </c>
      <c r="H58">
        <v>0</v>
      </c>
      <c r="I58" s="2">
        <v>0</v>
      </c>
      <c r="J58" s="2">
        <v>0</v>
      </c>
      <c r="K58" s="2">
        <v>0</v>
      </c>
      <c r="L58" s="736">
        <v>0</v>
      </c>
      <c r="M58" s="2">
        <v>1264.8599999999997</v>
      </c>
      <c r="N58">
        <v>0</v>
      </c>
      <c r="O58"/>
      <c r="P58" s="736">
        <v>0</v>
      </c>
      <c r="Q58" s="736">
        <v>-2.0899999999999998E-2</v>
      </c>
      <c r="R58" s="2"/>
      <c r="S58" s="48"/>
      <c r="W58" s="48"/>
    </row>
    <row r="59" spans="1:41" ht="21.95" customHeight="1" x14ac:dyDescent="0.25">
      <c r="A59" s="50"/>
      <c r="B59" s="50"/>
      <c r="C59" s="51"/>
      <c r="D59" s="788"/>
      <c r="E59" s="22" t="s">
        <v>841</v>
      </c>
      <c r="F59" s="2">
        <v>105.35</v>
      </c>
      <c r="G59" s="78">
        <v>105.35</v>
      </c>
      <c r="H59">
        <v>0</v>
      </c>
      <c r="I59" s="2">
        <v>0</v>
      </c>
      <c r="J59" s="2">
        <v>0</v>
      </c>
      <c r="K59" s="2">
        <v>910.92000000000189</v>
      </c>
      <c r="L59" s="736">
        <v>0</v>
      </c>
      <c r="M59" s="2">
        <v>910.92000000000189</v>
      </c>
      <c r="N59">
        <v>0</v>
      </c>
      <c r="O59" t="s">
        <v>1204</v>
      </c>
      <c r="P59" s="736">
        <v>2.1642145230185098E-2</v>
      </c>
      <c r="Q59" s="736">
        <v>2.5999999999999999E-3</v>
      </c>
      <c r="R59" s="2">
        <v>22.132352941176471</v>
      </c>
      <c r="S59" s="48"/>
      <c r="T59" s="48"/>
      <c r="X59"/>
      <c r="Y59"/>
      <c r="Z59"/>
      <c r="AA59" s="2"/>
      <c r="AB59"/>
      <c r="AC59"/>
      <c r="AD59" s="2"/>
      <c r="AE59"/>
      <c r="AF59"/>
      <c r="AG59" s="2"/>
      <c r="AH59"/>
      <c r="AI59" s="2"/>
      <c r="AJ59"/>
      <c r="AK59"/>
      <c r="AL59"/>
      <c r="AM59"/>
      <c r="AN59"/>
      <c r="AO59"/>
    </row>
    <row r="60" spans="1:41" ht="21.95" customHeight="1" x14ac:dyDescent="0.25">
      <c r="A60" s="50"/>
      <c r="B60" s="50"/>
      <c r="C60" s="51"/>
      <c r="D60" s="788"/>
      <c r="E60" s="22" t="s">
        <v>725</v>
      </c>
      <c r="F60" s="2">
        <v>75.86</v>
      </c>
      <c r="G60" s="78">
        <v>75.86</v>
      </c>
      <c r="H60">
        <v>0</v>
      </c>
      <c r="I60" s="2">
        <v>0</v>
      </c>
      <c r="J60" s="2">
        <v>0</v>
      </c>
      <c r="K60" s="2">
        <v>581.39999999999964</v>
      </c>
      <c r="L60" s="736">
        <v>0</v>
      </c>
      <c r="M60" s="2">
        <v>1040.7199999999993</v>
      </c>
      <c r="N60">
        <v>0</v>
      </c>
      <c r="O60"/>
      <c r="P60" s="736">
        <v>0</v>
      </c>
      <c r="Q60" s="736">
        <v>-5.8999999999999999E-3</v>
      </c>
      <c r="R60" s="2">
        <v>18.570379436964505</v>
      </c>
      <c r="S60" s="48"/>
      <c r="T60" s="48"/>
    </row>
    <row r="61" spans="1:41" ht="21.95" customHeight="1" x14ac:dyDescent="0.25">
      <c r="A61" s="50"/>
      <c r="B61" s="50"/>
      <c r="C61" s="51"/>
      <c r="D61" s="788"/>
      <c r="E61" s="22" t="s">
        <v>34</v>
      </c>
      <c r="F61" s="2">
        <v>55.74</v>
      </c>
      <c r="G61" s="78">
        <v>55.74</v>
      </c>
      <c r="H61">
        <v>0</v>
      </c>
      <c r="I61" s="2">
        <v>0</v>
      </c>
      <c r="J61" s="2">
        <v>0</v>
      </c>
      <c r="K61" s="2">
        <v>0</v>
      </c>
      <c r="L61" s="736">
        <v>0</v>
      </c>
      <c r="M61" s="2">
        <v>21137.586999999941</v>
      </c>
      <c r="N61">
        <v>0</v>
      </c>
      <c r="O61"/>
      <c r="P61" s="736">
        <v>0</v>
      </c>
      <c r="Q61" s="736">
        <v>2.63E-2</v>
      </c>
      <c r="R61" s="2"/>
      <c r="S61" s="736"/>
      <c r="T61" s="48"/>
    </row>
    <row r="62" spans="1:41" ht="21.95" customHeight="1" x14ac:dyDescent="0.25">
      <c r="A62" s="50"/>
      <c r="B62" s="51"/>
      <c r="C62" s="51"/>
      <c r="D62" s="788"/>
      <c r="E62" s="22" t="s">
        <v>172</v>
      </c>
      <c r="F62" s="2">
        <v>53.47</v>
      </c>
      <c r="G62" s="78">
        <v>53.47</v>
      </c>
      <c r="H62">
        <v>0</v>
      </c>
      <c r="I62" s="2">
        <v>0</v>
      </c>
      <c r="J62" s="2">
        <v>0</v>
      </c>
      <c r="K62" s="2">
        <v>0</v>
      </c>
      <c r="L62" s="736">
        <v>0</v>
      </c>
      <c r="M62" s="2">
        <v>119.92000000000053</v>
      </c>
      <c r="N62">
        <v>0</v>
      </c>
      <c r="O62"/>
      <c r="P62" s="736">
        <v>3.6400000000000002E-2</v>
      </c>
      <c r="Q62" s="736">
        <v>7.9000000000000008E-3</v>
      </c>
      <c r="R62" s="2"/>
    </row>
    <row r="63" spans="1:41" ht="21.95" customHeight="1" x14ac:dyDescent="0.25">
      <c r="A63" s="50"/>
      <c r="B63" s="50"/>
      <c r="C63" s="51"/>
      <c r="D63" s="788"/>
      <c r="E63" s="22" t="s">
        <v>27</v>
      </c>
      <c r="F63" s="2">
        <v>52.16</v>
      </c>
      <c r="G63" s="78">
        <v>52.16</v>
      </c>
      <c r="H63">
        <v>0</v>
      </c>
      <c r="I63" s="2">
        <v>0</v>
      </c>
      <c r="J63" s="2">
        <v>0</v>
      </c>
      <c r="K63" s="2">
        <v>0</v>
      </c>
      <c r="L63" s="736">
        <v>0</v>
      </c>
      <c r="M63" s="2">
        <v>1407.5400000000009</v>
      </c>
      <c r="N63">
        <v>0</v>
      </c>
      <c r="O63"/>
      <c r="P63" s="736">
        <v>3.0200000000000001E-2</v>
      </c>
      <c r="Q63" s="736">
        <v>5.7999999999999996E-3</v>
      </c>
      <c r="R63" s="2"/>
      <c r="S63" s="48"/>
      <c r="U63" s="48"/>
    </row>
    <row r="64" spans="1:41" ht="21.95" customHeight="1" x14ac:dyDescent="0.25">
      <c r="A64" s="50"/>
      <c r="B64" s="51"/>
      <c r="C64" s="51"/>
      <c r="D64" s="788"/>
      <c r="E64" s="22" t="s">
        <v>22</v>
      </c>
      <c r="F64" s="2">
        <v>69.599999999999994</v>
      </c>
      <c r="G64" s="78">
        <v>69.599999999999994</v>
      </c>
      <c r="H64">
        <v>0</v>
      </c>
      <c r="I64" s="2">
        <v>0</v>
      </c>
      <c r="J64" s="2">
        <v>0</v>
      </c>
      <c r="K64" s="2">
        <v>0</v>
      </c>
      <c r="L64" s="736">
        <v>0</v>
      </c>
      <c r="M64" s="2">
        <v>3178.8000000000466</v>
      </c>
      <c r="N64">
        <v>0</v>
      </c>
      <c r="O64"/>
      <c r="P64" s="736">
        <v>2.07E-2</v>
      </c>
      <c r="Q64" s="736">
        <v>5.5999999999999999E-3</v>
      </c>
      <c r="R64" s="2"/>
      <c r="T64" s="48"/>
    </row>
    <row r="65" spans="1:41" ht="21.95" customHeight="1" x14ac:dyDescent="0.25">
      <c r="A65" s="50"/>
      <c r="B65" s="50"/>
      <c r="C65" s="51"/>
      <c r="D65" s="788"/>
      <c r="E65" s="22" t="s">
        <v>42</v>
      </c>
      <c r="F65" s="2">
        <v>144.11000000000001</v>
      </c>
      <c r="G65" s="78">
        <v>144.11000000000001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128.08999999999833</v>
      </c>
      <c r="N65">
        <v>0</v>
      </c>
      <c r="O65"/>
      <c r="P65" s="736">
        <v>2.18E-2</v>
      </c>
      <c r="Q65" s="854">
        <v>-6.4999999999999997E-3</v>
      </c>
      <c r="R65" s="2"/>
      <c r="S65" s="48"/>
      <c r="T65" s="48"/>
      <c r="U65" s="48"/>
    </row>
    <row r="66" spans="1:41" ht="21.95" customHeight="1" x14ac:dyDescent="0.25">
      <c r="A66" s="50"/>
      <c r="B66" s="50"/>
      <c r="C66" s="51"/>
      <c r="D66" s="788"/>
      <c r="E66" s="22" t="s">
        <v>265</v>
      </c>
      <c r="F66" s="78">
        <v>47.6</v>
      </c>
      <c r="G66" s="78">
        <v>47.6</v>
      </c>
      <c r="H66">
        <v>0</v>
      </c>
      <c r="I66" s="2">
        <v>0</v>
      </c>
      <c r="J66" s="2">
        <v>0</v>
      </c>
      <c r="K66" s="2">
        <v>0</v>
      </c>
      <c r="L66" s="736">
        <v>0</v>
      </c>
      <c r="M66" s="2">
        <v>427.92000000000007</v>
      </c>
      <c r="N66">
        <v>0</v>
      </c>
      <c r="O66"/>
      <c r="P66" s="736">
        <v>0</v>
      </c>
      <c r="Q66" s="854">
        <v>-3.5999999999999999E-3</v>
      </c>
      <c r="R66" s="2"/>
      <c r="S66" s="48"/>
      <c r="T66" s="48"/>
    </row>
    <row r="67" spans="1:41" ht="21.95" customHeight="1" x14ac:dyDescent="0.25">
      <c r="A67" s="50"/>
      <c r="B67" s="50"/>
      <c r="C67" s="51"/>
      <c r="D67" s="788"/>
      <c r="E67" s="22" t="s">
        <v>175</v>
      </c>
      <c r="F67" s="2">
        <v>278.89999999999998</v>
      </c>
      <c r="G67" s="78">
        <v>278.89999999999998</v>
      </c>
      <c r="H67">
        <v>0</v>
      </c>
      <c r="I67" s="2">
        <v>0</v>
      </c>
      <c r="J67" s="2">
        <v>0</v>
      </c>
      <c r="K67" s="2">
        <v>873.70999999999913</v>
      </c>
      <c r="L67" s="736">
        <v>0</v>
      </c>
      <c r="M67" s="2">
        <v>1034.5399999999991</v>
      </c>
      <c r="N67">
        <v>0</v>
      </c>
      <c r="O67"/>
      <c r="P67" s="736">
        <v>1.84E-2</v>
      </c>
      <c r="Q67" s="736">
        <v>3.5999999999999999E-3</v>
      </c>
      <c r="R67" s="2">
        <v>21.45384615384615</v>
      </c>
      <c r="V67" s="48"/>
    </row>
    <row r="68" spans="1:41" ht="21.95" customHeight="1" x14ac:dyDescent="0.25">
      <c r="A68" s="50"/>
      <c r="B68" s="51"/>
      <c r="C68" s="51"/>
      <c r="D68" s="788"/>
      <c r="E68" s="22" t="s">
        <v>170</v>
      </c>
      <c r="F68" s="2">
        <v>101.64</v>
      </c>
      <c r="G68" s="78">
        <v>101.64</v>
      </c>
      <c r="H68">
        <v>0</v>
      </c>
      <c r="I68" s="2">
        <v>0</v>
      </c>
      <c r="J68" s="2">
        <v>0</v>
      </c>
      <c r="K68" s="2">
        <v>0</v>
      </c>
      <c r="L68" s="736">
        <v>0</v>
      </c>
      <c r="M68" s="2">
        <v>1368.9000000000015</v>
      </c>
      <c r="N68">
        <v>0</v>
      </c>
      <c r="O68"/>
      <c r="P68" s="736">
        <v>1.14E-2</v>
      </c>
      <c r="Q68" s="854">
        <v>1.2E-2</v>
      </c>
      <c r="R68" s="2"/>
      <c r="S68" s="736"/>
      <c r="T68" s="48"/>
    </row>
    <row r="69" spans="1:41" ht="21.95" customHeight="1" x14ac:dyDescent="0.25">
      <c r="A69" s="51"/>
      <c r="B69" s="51"/>
      <c r="C69" s="51"/>
      <c r="D69" s="788"/>
      <c r="E69" s="22" t="s">
        <v>8</v>
      </c>
      <c r="F69" s="2">
        <v>0</v>
      </c>
      <c r="G69" s="78">
        <v>0</v>
      </c>
      <c r="H69">
        <v>0</v>
      </c>
      <c r="I69" s="2">
        <v>0</v>
      </c>
      <c r="J69" s="2">
        <v>0</v>
      </c>
      <c r="K69" s="2">
        <v>0</v>
      </c>
      <c r="L69" s="736"/>
      <c r="M69" s="2">
        <v>121.94999999999982</v>
      </c>
      <c r="N69">
        <v>0</v>
      </c>
      <c r="O69"/>
      <c r="P69" s="736">
        <v>1.67E-2</v>
      </c>
      <c r="Q69" s="736">
        <v>0</v>
      </c>
      <c r="R69" s="2"/>
      <c r="S69" s="736"/>
      <c r="T69" s="48"/>
      <c r="U69" s="48"/>
    </row>
    <row r="70" spans="1:41" ht="21.95" customHeight="1" x14ac:dyDescent="0.25">
      <c r="A70" s="50"/>
      <c r="B70" s="50"/>
      <c r="C70" s="51"/>
      <c r="D70" s="788"/>
      <c r="E70" s="22" t="s">
        <v>10</v>
      </c>
      <c r="F70" s="2">
        <v>47.89</v>
      </c>
      <c r="G70" s="78">
        <v>47.89</v>
      </c>
      <c r="H70">
        <v>0</v>
      </c>
      <c r="I70" s="2">
        <v>0</v>
      </c>
      <c r="J70" s="2">
        <v>0</v>
      </c>
      <c r="K70" s="2">
        <v>0</v>
      </c>
      <c r="L70" s="736">
        <v>0</v>
      </c>
      <c r="M70" s="2">
        <v>1128.3800000000047</v>
      </c>
      <c r="N70">
        <v>0</v>
      </c>
      <c r="O70"/>
      <c r="P70" s="736">
        <v>1.2500000000000001E-2</v>
      </c>
      <c r="Q70" s="852">
        <v>-8.3000000000000001E-3</v>
      </c>
      <c r="R70" s="2"/>
      <c r="S70" s="736"/>
      <c r="T70" s="48"/>
    </row>
    <row r="71" spans="1:41" ht="21.95" customHeight="1" x14ac:dyDescent="0.25">
      <c r="A71" s="50"/>
      <c r="B71" s="50"/>
      <c r="C71" s="51"/>
      <c r="D71" s="788"/>
      <c r="E71" s="22" t="s">
        <v>221</v>
      </c>
      <c r="F71" s="2">
        <v>43.64</v>
      </c>
      <c r="G71" s="78">
        <v>43.64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4376.9599999999991</v>
      </c>
      <c r="N71">
        <v>0</v>
      </c>
      <c r="O71" t="s">
        <v>1198</v>
      </c>
      <c r="P71" s="736">
        <v>4.0899999999999999E-2</v>
      </c>
      <c r="Q71" s="852">
        <v>8.9999999999999998E-4</v>
      </c>
      <c r="R71" s="2"/>
      <c r="U71" s="48"/>
      <c r="W71" s="48"/>
    </row>
    <row r="72" spans="1:41" ht="21.95" customHeight="1" x14ac:dyDescent="0.25">
      <c r="A72" s="51"/>
      <c r="B72" s="51"/>
      <c r="C72" s="51"/>
      <c r="D72" s="788"/>
      <c r="E72" s="22" t="s">
        <v>337</v>
      </c>
      <c r="F72" s="2">
        <v>78.3</v>
      </c>
      <c r="G72" s="78">
        <v>78.3</v>
      </c>
      <c r="H72">
        <v>0</v>
      </c>
      <c r="I72" s="2">
        <v>0</v>
      </c>
      <c r="J72" s="2">
        <v>0</v>
      </c>
      <c r="K72" s="2">
        <v>129.92000000000007</v>
      </c>
      <c r="L72" s="736">
        <v>0</v>
      </c>
      <c r="M72" s="2">
        <v>2190.3500000000004</v>
      </c>
      <c r="N72">
        <v>0</v>
      </c>
      <c r="O72"/>
      <c r="P72" s="736">
        <v>4.3499999999999997E-2</v>
      </c>
      <c r="Q72" s="852">
        <v>6.8999999999999999E-3</v>
      </c>
      <c r="R72" s="2">
        <v>14.914285714285715</v>
      </c>
      <c r="S72" s="48"/>
      <c r="T72" s="48"/>
      <c r="U72" s="48"/>
      <c r="V72" s="48"/>
    </row>
    <row r="73" spans="1:41" ht="21.95" customHeight="1" x14ac:dyDescent="0.25">
      <c r="A73" s="50"/>
      <c r="B73" s="51"/>
      <c r="C73" s="51"/>
      <c r="D73" s="788"/>
      <c r="E73" s="22" t="s">
        <v>24</v>
      </c>
      <c r="F73" s="2">
        <v>67.31</v>
      </c>
      <c r="G73" s="78">
        <v>67.31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937.36999999999534</v>
      </c>
      <c r="N73">
        <v>0</v>
      </c>
      <c r="O73"/>
      <c r="P73" s="736">
        <v>0</v>
      </c>
      <c r="Q73" s="736">
        <v>-1.1999999999999999E-3</v>
      </c>
      <c r="R73" s="2"/>
      <c r="S73" s="48"/>
    </row>
    <row r="74" spans="1:41" ht="21.95" customHeight="1" x14ac:dyDescent="0.25">
      <c r="A74" s="50"/>
      <c r="B74" s="51"/>
      <c r="C74" s="51"/>
      <c r="D74" s="788"/>
      <c r="E74" s="22" t="s">
        <v>45</v>
      </c>
      <c r="F74" s="2">
        <v>93.36</v>
      </c>
      <c r="G74" s="78">
        <v>93.36</v>
      </c>
      <c r="H74">
        <v>0</v>
      </c>
      <c r="I74" s="2">
        <v>0</v>
      </c>
      <c r="J74" s="2">
        <v>0</v>
      </c>
      <c r="K74" s="2">
        <v>0</v>
      </c>
      <c r="L74" s="736">
        <v>0</v>
      </c>
      <c r="M74" s="2">
        <v>523.61999999999898</v>
      </c>
      <c r="N74">
        <v>0</v>
      </c>
      <c r="O74"/>
      <c r="P74" s="736">
        <v>1.67E-2</v>
      </c>
      <c r="Q74" s="736">
        <v>-2.5999999999999999E-3</v>
      </c>
      <c r="R74" s="2"/>
      <c r="T74" s="48"/>
      <c r="V74" s="48"/>
    </row>
    <row r="75" spans="1:41" ht="21.95" customHeight="1" x14ac:dyDescent="0.25">
      <c r="A75" s="50"/>
      <c r="B75" s="50"/>
      <c r="C75" s="50"/>
      <c r="D75" s="788"/>
      <c r="E75" s="22" t="s">
        <v>47</v>
      </c>
      <c r="F75" s="2">
        <v>158.71</v>
      </c>
      <c r="G75" s="78">
        <v>158.71</v>
      </c>
      <c r="H75">
        <v>0</v>
      </c>
      <c r="I75" s="2">
        <v>0</v>
      </c>
      <c r="J75" s="2">
        <v>0</v>
      </c>
      <c r="K75" s="2">
        <v>0</v>
      </c>
      <c r="L75" s="736">
        <v>0</v>
      </c>
      <c r="M75" s="2">
        <v>-168.6200000000008</v>
      </c>
      <c r="N75">
        <v>0</v>
      </c>
      <c r="O75"/>
      <c r="P75" s="736">
        <v>0</v>
      </c>
      <c r="Q75" s="736">
        <v>0.01</v>
      </c>
      <c r="R75" s="2"/>
      <c r="S75" s="736"/>
    </row>
    <row r="76" spans="1:41" ht="21.95" customHeight="1" x14ac:dyDescent="0.25">
      <c r="A76" s="50"/>
      <c r="B76" s="50"/>
      <c r="C76" s="51"/>
      <c r="D76" s="788"/>
      <c r="E76" s="22" t="s">
        <v>33</v>
      </c>
      <c r="F76" s="2">
        <v>250.56</v>
      </c>
      <c r="G76" s="78">
        <v>250.56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780.73999999999796</v>
      </c>
      <c r="N76">
        <v>0</v>
      </c>
      <c r="O76"/>
      <c r="P76" s="736">
        <v>1.8599999999999998E-2</v>
      </c>
      <c r="Q76" s="853">
        <v>1.2699999999999999E-2</v>
      </c>
      <c r="R76" s="2"/>
      <c r="U76" s="48"/>
    </row>
    <row r="77" spans="1:41" ht="21.95" customHeight="1" x14ac:dyDescent="0.25">
      <c r="A77" s="51"/>
      <c r="B77" s="51"/>
      <c r="C77" s="51"/>
      <c r="D77" s="788"/>
      <c r="E77" s="22" t="s">
        <v>13</v>
      </c>
      <c r="F77" s="2">
        <v>71.3</v>
      </c>
      <c r="G77" s="78">
        <v>71.3</v>
      </c>
      <c r="H77">
        <v>0</v>
      </c>
      <c r="I77" s="2">
        <v>0</v>
      </c>
      <c r="J77" s="2">
        <v>0</v>
      </c>
      <c r="K77" s="2">
        <v>0</v>
      </c>
      <c r="L77" s="736">
        <v>0</v>
      </c>
      <c r="M77" s="2">
        <v>1461.5600000000013</v>
      </c>
      <c r="N77">
        <v>0</v>
      </c>
      <c r="O77"/>
      <c r="P77" s="736">
        <v>0</v>
      </c>
      <c r="Q77" s="854">
        <v>-6.7999999999999996E-3</v>
      </c>
      <c r="R77" s="2"/>
      <c r="S77" s="48"/>
    </row>
    <row r="78" spans="1:41" ht="21.95" customHeight="1" x14ac:dyDescent="0.25">
      <c r="A78" s="152"/>
      <c r="B78" s="50"/>
      <c r="C78" s="51"/>
      <c r="D78" s="788"/>
      <c r="E78" s="22" t="s">
        <v>326</v>
      </c>
      <c r="F78" s="2">
        <v>24.14</v>
      </c>
      <c r="G78" s="78">
        <v>24.14</v>
      </c>
      <c r="H78">
        <v>0</v>
      </c>
      <c r="I78" s="2">
        <v>0</v>
      </c>
      <c r="J78" s="2">
        <v>0</v>
      </c>
      <c r="K78" s="2">
        <v>926.77000000000044</v>
      </c>
      <c r="L78" s="736">
        <v>0</v>
      </c>
      <c r="M78" s="2">
        <v>1211.7400000000052</v>
      </c>
      <c r="N78">
        <v>0</v>
      </c>
      <c r="O78"/>
      <c r="P78" s="736">
        <v>0</v>
      </c>
      <c r="Q78" s="854">
        <v>-4.4999999999999997E-3</v>
      </c>
      <c r="R78" s="2">
        <v>9.8530612244897959</v>
      </c>
      <c r="T78" s="48"/>
    </row>
    <row r="79" spans="1:41" ht="21.95" customHeight="1" x14ac:dyDescent="0.25">
      <c r="A79" s="50"/>
      <c r="B79" s="50"/>
      <c r="C79" s="51"/>
      <c r="D79" s="788"/>
      <c r="E79" s="22" t="s">
        <v>63</v>
      </c>
      <c r="F79" s="2">
        <v>106.03</v>
      </c>
      <c r="G79" s="78">
        <v>106.03</v>
      </c>
      <c r="H79">
        <v>0</v>
      </c>
      <c r="I79" s="2">
        <v>0</v>
      </c>
      <c r="J79" s="2">
        <v>0</v>
      </c>
      <c r="K79" s="2">
        <v>0</v>
      </c>
      <c r="L79" s="736">
        <v>0</v>
      </c>
      <c r="M79" s="2">
        <v>257.30999999999949</v>
      </c>
      <c r="N79">
        <v>0</v>
      </c>
      <c r="O79"/>
      <c r="P79" s="736">
        <v>1.38E-2</v>
      </c>
      <c r="Q79" s="854">
        <v>1E-4</v>
      </c>
      <c r="R79" s="2"/>
      <c r="S79" s="736"/>
      <c r="T79" s="48"/>
      <c r="W79" s="48"/>
      <c r="Y79" s="48"/>
    </row>
    <row r="80" spans="1:41" ht="21.95" customHeight="1" x14ac:dyDescent="0.25">
      <c r="A80" s="152"/>
      <c r="B80" s="50"/>
      <c r="C80" s="51"/>
      <c r="D80" s="788"/>
      <c r="E80" s="22" t="s">
        <v>9</v>
      </c>
      <c r="F80" s="2">
        <v>5.38</v>
      </c>
      <c r="G80" s="78">
        <v>5.38</v>
      </c>
      <c r="H80">
        <v>0</v>
      </c>
      <c r="I80" s="2">
        <v>0</v>
      </c>
      <c r="J80" s="2">
        <v>0</v>
      </c>
      <c r="K80" s="2">
        <v>-8332.1133333333346</v>
      </c>
      <c r="L80" s="736">
        <v>0</v>
      </c>
      <c r="M80" s="2">
        <v>-7897.1833333333343</v>
      </c>
      <c r="N80">
        <v>0</v>
      </c>
      <c r="O80"/>
      <c r="P80" s="736">
        <v>0.04</v>
      </c>
      <c r="Q80" s="852">
        <v>-7.4000000000000003E-3</v>
      </c>
      <c r="R80" s="2"/>
      <c r="S80" s="736"/>
      <c r="T80" s="48"/>
      <c r="U80" s="48"/>
      <c r="X80"/>
      <c r="Y80"/>
      <c r="Z80"/>
      <c r="AA80" s="2"/>
      <c r="AB80"/>
      <c r="AC80"/>
      <c r="AD80" s="2"/>
      <c r="AE80"/>
      <c r="AF80"/>
      <c r="AG80" s="2"/>
      <c r="AH80"/>
      <c r="AI80" s="2"/>
      <c r="AJ80"/>
      <c r="AK80"/>
      <c r="AL80"/>
      <c r="AM80"/>
      <c r="AN80"/>
      <c r="AO80"/>
    </row>
    <row r="81" spans="1:41" ht="21.95" customHeight="1" x14ac:dyDescent="0.25">
      <c r="A81" s="50"/>
      <c r="B81" s="50"/>
      <c r="C81" s="51"/>
      <c r="D81" s="788"/>
      <c r="E81" s="22" t="s">
        <v>55</v>
      </c>
      <c r="F81" s="2">
        <v>76.75</v>
      </c>
      <c r="G81" s="78">
        <v>76.75</v>
      </c>
      <c r="H81">
        <v>0</v>
      </c>
      <c r="I81" s="2">
        <v>0</v>
      </c>
      <c r="J81" s="2">
        <v>0</v>
      </c>
      <c r="K81" s="2">
        <v>113.94999999999982</v>
      </c>
      <c r="L81" s="736">
        <v>0</v>
      </c>
      <c r="M81" s="2">
        <v>924.07999999998992</v>
      </c>
      <c r="N81">
        <v>0</v>
      </c>
      <c r="O81" s="29" t="s">
        <v>1197</v>
      </c>
      <c r="P81" s="736">
        <v>2.7100977198697071E-2</v>
      </c>
      <c r="Q81" s="854">
        <v>1.4E-3</v>
      </c>
      <c r="R81" s="2">
        <v>11.880804953560371</v>
      </c>
      <c r="U81" s="48"/>
    </row>
    <row r="82" spans="1:41" ht="21.95" customHeight="1" x14ac:dyDescent="0.25">
      <c r="A82" s="50"/>
      <c r="B82" s="50"/>
      <c r="C82" s="51"/>
      <c r="D82" s="788"/>
      <c r="E82" s="22" t="s">
        <v>53</v>
      </c>
      <c r="F82" s="78">
        <v>78.900000000000006</v>
      </c>
      <c r="G82" s="78">
        <v>78.900000000000006</v>
      </c>
      <c r="H82">
        <v>0</v>
      </c>
      <c r="I82" s="2">
        <v>0</v>
      </c>
      <c r="J82" s="2">
        <v>0</v>
      </c>
      <c r="K82" s="2">
        <v>0</v>
      </c>
      <c r="L82" s="736">
        <v>0</v>
      </c>
      <c r="M82" s="2">
        <v>33.940000000000055</v>
      </c>
      <c r="N82">
        <v>0</v>
      </c>
      <c r="O82"/>
      <c r="P82" s="736">
        <v>7.4000000000000003E-3</v>
      </c>
      <c r="Q82" s="852">
        <v>-1.9E-3</v>
      </c>
      <c r="R82" s="2"/>
      <c r="S82" s="736"/>
      <c r="X82"/>
      <c r="Y82"/>
      <c r="Z82"/>
      <c r="AA82" s="2"/>
      <c r="AB82"/>
      <c r="AC82"/>
      <c r="AD82" s="2"/>
      <c r="AE82"/>
      <c r="AF82"/>
      <c r="AG82" s="2"/>
      <c r="AH82"/>
      <c r="AI82" s="2"/>
      <c r="AJ82"/>
      <c r="AK82"/>
      <c r="AL82"/>
      <c r="AM82"/>
      <c r="AN82"/>
      <c r="AO82"/>
    </row>
    <row r="83" spans="1:41" ht="21.95" customHeight="1" x14ac:dyDescent="0.25">
      <c r="A83" s="51"/>
      <c r="B83" s="51"/>
      <c r="C83" s="51"/>
      <c r="D83" s="788"/>
      <c r="E83" s="22" t="s">
        <v>56</v>
      </c>
      <c r="F83" s="2">
        <v>40.090000000000003</v>
      </c>
      <c r="G83" s="78">
        <v>40.090000000000003</v>
      </c>
      <c r="H83">
        <v>0</v>
      </c>
      <c r="I83" s="2">
        <v>0</v>
      </c>
      <c r="J83" s="2">
        <v>0</v>
      </c>
      <c r="K83" s="2">
        <v>0</v>
      </c>
      <c r="L83" s="736">
        <v>0</v>
      </c>
      <c r="M83" s="2">
        <v>36.819999999999709</v>
      </c>
      <c r="N83">
        <v>0</v>
      </c>
      <c r="O83"/>
      <c r="P83" s="736">
        <v>4.2999999999999997E-2</v>
      </c>
      <c r="Q83" s="736">
        <v>8.6E-3</v>
      </c>
      <c r="R83" s="2"/>
      <c r="S83" s="48"/>
      <c r="T83" s="48"/>
    </row>
    <row r="84" spans="1:41" ht="21.95" customHeight="1" x14ac:dyDescent="0.25">
      <c r="A84" s="50"/>
      <c r="B84" s="50"/>
      <c r="C84" s="51"/>
      <c r="D84" s="788"/>
      <c r="E84" s="22" t="s">
        <v>0</v>
      </c>
      <c r="F84" s="2">
        <v>214.16</v>
      </c>
      <c r="G84" s="78">
        <v>214.16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465.57999999999993</v>
      </c>
      <c r="N84">
        <v>0</v>
      </c>
      <c r="O84"/>
      <c r="P84" s="736">
        <v>3.8999999999999998E-3</v>
      </c>
      <c r="Q84" s="736">
        <v>1.0999999999999999E-2</v>
      </c>
      <c r="R84" s="2"/>
    </row>
    <row r="85" spans="1:41" ht="21.95" customHeight="1" x14ac:dyDescent="0.25">
      <c r="A85" s="50"/>
      <c r="B85" s="51"/>
      <c r="C85" s="51"/>
      <c r="D85" s="788"/>
      <c r="E85" s="22" t="s">
        <v>39</v>
      </c>
      <c r="F85" s="2">
        <v>44.5</v>
      </c>
      <c r="G85" s="78">
        <v>44.5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529.88000000000284</v>
      </c>
      <c r="N85">
        <v>0</v>
      </c>
      <c r="O85"/>
      <c r="P85" s="736">
        <v>2.3E-2</v>
      </c>
      <c r="Q85" s="736">
        <v>-3.3999999999999998E-3</v>
      </c>
      <c r="R85" s="2"/>
      <c r="S85" s="736"/>
      <c r="T85" s="48"/>
    </row>
    <row r="86" spans="1:41" ht="21.95" customHeight="1" x14ac:dyDescent="0.25">
      <c r="A86" s="50"/>
      <c r="B86" s="50"/>
      <c r="C86" s="51"/>
      <c r="D86" s="788"/>
      <c r="E86" s="22" t="s">
        <v>54</v>
      </c>
      <c r="F86" s="2">
        <v>127.06</v>
      </c>
      <c r="G86" s="78">
        <v>127.06</v>
      </c>
      <c r="H86">
        <v>0</v>
      </c>
      <c r="I86" s="2">
        <v>0</v>
      </c>
      <c r="J86" s="2">
        <v>0</v>
      </c>
      <c r="K86" s="2">
        <v>0</v>
      </c>
      <c r="L86" s="736">
        <v>0</v>
      </c>
      <c r="M86" s="2">
        <v>114.84999999999991</v>
      </c>
      <c r="N86">
        <v>0</v>
      </c>
      <c r="O86"/>
      <c r="P86" s="736">
        <v>2.35E-2</v>
      </c>
      <c r="Q86" s="736">
        <v>3.0000000000000001E-3</v>
      </c>
      <c r="R86" s="2"/>
    </row>
    <row r="87" spans="1:41" ht="21.95" customHeight="1" x14ac:dyDescent="0.25">
      <c r="A87" s="50"/>
      <c r="B87" s="51"/>
      <c r="C87" s="51"/>
      <c r="D87" s="788"/>
      <c r="E87" s="22" t="s">
        <v>51</v>
      </c>
      <c r="F87" s="2">
        <v>255.54</v>
      </c>
      <c r="G87" s="78">
        <v>255.54</v>
      </c>
      <c r="H87">
        <v>0</v>
      </c>
      <c r="I87" s="2">
        <v>0</v>
      </c>
      <c r="J87" s="2">
        <v>0</v>
      </c>
      <c r="K87" s="2">
        <v>0</v>
      </c>
      <c r="L87" s="736">
        <v>0</v>
      </c>
      <c r="M87" s="2">
        <v>176.70000000000073</v>
      </c>
      <c r="N87">
        <v>0</v>
      </c>
      <c r="O87"/>
      <c r="P87" s="736">
        <v>1.52E-2</v>
      </c>
      <c r="Q87" s="736">
        <v>7.4000000000000003E-3</v>
      </c>
      <c r="R87" s="2"/>
    </row>
    <row r="88" spans="1:41" ht="21.95" customHeight="1" x14ac:dyDescent="0.25">
      <c r="A88" s="50"/>
      <c r="B88" s="50"/>
      <c r="C88" s="51"/>
      <c r="F88" s="78"/>
      <c r="G88" s="78"/>
      <c r="H88"/>
      <c r="I88" s="2"/>
      <c r="J88" s="2"/>
      <c r="K88" s="2"/>
      <c r="L88" s="736"/>
      <c r="M88" s="2"/>
      <c r="N88"/>
      <c r="O88"/>
      <c r="P88" s="736"/>
      <c r="Q88" s="736"/>
      <c r="R88" s="2"/>
    </row>
    <row r="89" spans="1:41" ht="21.95" customHeight="1" x14ac:dyDescent="0.25">
      <c r="F89" s="78"/>
      <c r="G89" s="78"/>
      <c r="H89"/>
      <c r="I89" s="2"/>
      <c r="J89" s="2"/>
      <c r="K89" s="2"/>
      <c r="L89" s="736"/>
      <c r="M89" s="2"/>
      <c r="N89"/>
      <c r="O89"/>
      <c r="P89" s="736"/>
      <c r="Q89" s="736"/>
      <c r="R89" s="2"/>
    </row>
    <row r="90" spans="1:41" ht="21.95" customHeight="1" x14ac:dyDescent="0.25">
      <c r="F90" s="78"/>
      <c r="G90" s="78"/>
      <c r="H90"/>
      <c r="I90" s="2"/>
      <c r="J90" s="2"/>
      <c r="K90" s="2"/>
      <c r="L90" s="736"/>
      <c r="M90" s="2"/>
      <c r="N90"/>
      <c r="O90"/>
      <c r="P90" s="736"/>
      <c r="Q90" s="736"/>
      <c r="R90" s="2"/>
    </row>
    <row r="91" spans="1:41" ht="21.95" customHeight="1" x14ac:dyDescent="0.25">
      <c r="F91" s="78"/>
      <c r="G91" s="78"/>
      <c r="H91"/>
      <c r="I91" s="2"/>
      <c r="J91" s="2"/>
      <c r="K91" s="2"/>
      <c r="L91" s="736"/>
      <c r="M91" s="2"/>
      <c r="N91"/>
      <c r="O91"/>
      <c r="P91" s="736"/>
      <c r="Q91" s="736"/>
      <c r="R91" s="2"/>
    </row>
    <row r="92" spans="1:41" ht="21.95" customHeight="1" x14ac:dyDescent="0.25">
      <c r="F92" s="78"/>
      <c r="G92" s="78"/>
      <c r="H92"/>
      <c r="I92" s="2"/>
      <c r="J92" s="2"/>
      <c r="K92" s="2"/>
      <c r="L92" s="736"/>
      <c r="M92" s="2"/>
      <c r="N92"/>
      <c r="O92"/>
      <c r="P92" s="736"/>
      <c r="Q92" s="736"/>
      <c r="R92" s="2"/>
    </row>
    <row r="93" spans="1:41" ht="21.95" customHeight="1" x14ac:dyDescent="0.25">
      <c r="F93" s="78"/>
      <c r="G93" s="78"/>
      <c r="H93"/>
      <c r="I93" s="2"/>
      <c r="J93" s="2"/>
      <c r="K93" s="2"/>
      <c r="L93" s="736"/>
      <c r="M93" s="2"/>
      <c r="N93"/>
      <c r="O93"/>
      <c r="P93" s="736"/>
      <c r="Q93" s="736"/>
      <c r="R93" s="2"/>
    </row>
    <row r="94" spans="1:41" ht="21.95" customHeight="1" x14ac:dyDescent="0.25">
      <c r="F94" s="78"/>
      <c r="G94" s="78"/>
      <c r="H94"/>
      <c r="I94" s="2"/>
      <c r="J94" s="2"/>
      <c r="K94" s="2"/>
      <c r="L94" s="736"/>
      <c r="M94" s="2"/>
      <c r="N94"/>
      <c r="O94"/>
      <c r="P94" s="736"/>
      <c r="Q94" s="736"/>
      <c r="R94" s="2"/>
    </row>
    <row r="95" spans="1:41" ht="21.95" customHeight="1" x14ac:dyDescent="0.25">
      <c r="F95" s="78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41" ht="21.95" customHeight="1" x14ac:dyDescent="0.25">
      <c r="F96" s="78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6:18" ht="21.95" customHeight="1" x14ac:dyDescent="0.25"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6:18" ht="21.95" customHeight="1" x14ac:dyDescent="0.25"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6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6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6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6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6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6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A2:AO104">
    <sortCondition descending="1" ref="I1"/>
  </sortState>
  <dataConsolidate/>
  <conditionalFormatting sqref="O105:O1048576 O1">
    <cfRule type="expression" dxfId="2818" priority="612">
      <formula>$O1=0</formula>
    </cfRule>
    <cfRule type="dataBar" priority="9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2817" priority="568">
      <formula>$H2=0</formula>
    </cfRule>
  </conditionalFormatting>
  <conditionalFormatting sqref="K105:K200">
    <cfRule type="expression" dxfId="2816" priority="569">
      <formula>$J105=0</formula>
    </cfRule>
  </conditionalFormatting>
  <conditionalFormatting sqref="K105:K458">
    <cfRule type="expression" dxfId="2815" priority="610">
      <formula>$J105&lt;0</formula>
    </cfRule>
  </conditionalFormatting>
  <conditionalFormatting sqref="E59">
    <cfRule type="expression" dxfId="2814" priority="539">
      <formula>$H59=0</formula>
    </cfRule>
  </conditionalFormatting>
  <conditionalFormatting sqref="E5">
    <cfRule type="expression" dxfId="2813" priority="517">
      <formula>$H5=0</formula>
    </cfRule>
  </conditionalFormatting>
  <conditionalFormatting sqref="E60">
    <cfRule type="expression" dxfId="2812" priority="495">
      <formula>$H60=0</formula>
    </cfRule>
  </conditionalFormatting>
  <conditionalFormatting sqref="E62">
    <cfRule type="expression" dxfId="2811" priority="484">
      <formula>$H62=0</formula>
    </cfRule>
  </conditionalFormatting>
  <conditionalFormatting sqref="E61">
    <cfRule type="expression" dxfId="2810" priority="473">
      <formula>$H61=0</formula>
    </cfRule>
  </conditionalFormatting>
  <conditionalFormatting sqref="E8">
    <cfRule type="expression" dxfId="2809" priority="458">
      <formula>$H8=0</formula>
    </cfRule>
  </conditionalFormatting>
  <conditionalFormatting sqref="E63">
    <cfRule type="expression" dxfId="2808" priority="448">
      <formula>$H63=0</formula>
    </cfRule>
  </conditionalFormatting>
  <conditionalFormatting sqref="E20">
    <cfRule type="expression" dxfId="2807" priority="438">
      <formula>$H20=0</formula>
    </cfRule>
  </conditionalFormatting>
  <conditionalFormatting sqref="E64">
    <cfRule type="expression" dxfId="2806" priority="429">
      <formula>$H64=0</formula>
    </cfRule>
  </conditionalFormatting>
  <conditionalFormatting sqref="E65">
    <cfRule type="expression" dxfId="2805" priority="422">
      <formula>$H65=0</formula>
    </cfRule>
  </conditionalFormatting>
  <conditionalFormatting sqref="E11">
    <cfRule type="expression" dxfId="2804" priority="413">
      <formula>$H11=0</formula>
    </cfRule>
  </conditionalFormatting>
  <conditionalFormatting sqref="E9">
    <cfRule type="expression" dxfId="2803" priority="406">
      <formula>$H9=0</formula>
    </cfRule>
  </conditionalFormatting>
  <conditionalFormatting sqref="E66">
    <cfRule type="expression" dxfId="2802" priority="397">
      <formula>$H66=0</formula>
    </cfRule>
  </conditionalFormatting>
  <conditionalFormatting sqref="E10">
    <cfRule type="expression" dxfId="2801" priority="388">
      <formula>$H10=0</formula>
    </cfRule>
  </conditionalFormatting>
  <conditionalFormatting sqref="E26:E28 E30 E45:E49 E36:E43">
    <cfRule type="expression" dxfId="2800" priority="384">
      <formula>$H26=0</formula>
    </cfRule>
  </conditionalFormatting>
  <conditionalFormatting sqref="E29">
    <cfRule type="expression" dxfId="2799" priority="383">
      <formula>$H29=0</formula>
    </cfRule>
  </conditionalFormatting>
  <conditionalFormatting sqref="E31">
    <cfRule type="expression" dxfId="2798" priority="382">
      <formula>$H31=0</formula>
    </cfRule>
  </conditionalFormatting>
  <conditionalFormatting sqref="E32">
    <cfRule type="expression" dxfId="2797" priority="381">
      <formula>$H32=0</formula>
    </cfRule>
  </conditionalFormatting>
  <conditionalFormatting sqref="E44">
    <cfRule type="expression" dxfId="2796" priority="380">
      <formula>$H44=0</formula>
    </cfRule>
  </conditionalFormatting>
  <conditionalFormatting sqref="E35">
    <cfRule type="expression" dxfId="2795" priority="379">
      <formula>$H35=0</formula>
    </cfRule>
  </conditionalFormatting>
  <conditionalFormatting sqref="E33">
    <cfRule type="expression" dxfId="2794" priority="378">
      <formula>$H33=0</formula>
    </cfRule>
  </conditionalFormatting>
  <conditionalFormatting sqref="E34">
    <cfRule type="expression" dxfId="2793" priority="377">
      <formula>$H34=0</formula>
    </cfRule>
  </conditionalFormatting>
  <conditionalFormatting sqref="E67">
    <cfRule type="expression" dxfId="2792" priority="373">
      <formula>$H67=0</formula>
    </cfRule>
  </conditionalFormatting>
  <conditionalFormatting sqref="E69:E70">
    <cfRule type="expression" dxfId="2791" priority="366">
      <formula>$H69=0</formula>
    </cfRule>
  </conditionalFormatting>
  <conditionalFormatting sqref="E68">
    <cfRule type="expression" dxfId="2790" priority="359">
      <formula>$H68=0</formula>
    </cfRule>
  </conditionalFormatting>
  <conditionalFormatting sqref="E69:E70">
    <cfRule type="expression" dxfId="2789" priority="351">
      <formula>$H69=0</formula>
    </cfRule>
  </conditionalFormatting>
  <conditionalFormatting sqref="E71">
    <cfRule type="expression" dxfId="2788" priority="344">
      <formula>$H71=0</formula>
    </cfRule>
  </conditionalFormatting>
  <conditionalFormatting sqref="E72">
    <cfRule type="expression" dxfId="2787" priority="321">
      <formula>$H72=0</formula>
    </cfRule>
  </conditionalFormatting>
  <conditionalFormatting sqref="E72">
    <cfRule type="expression" dxfId="2786" priority="313">
      <formula>$H72=0</formula>
    </cfRule>
  </conditionalFormatting>
  <conditionalFormatting sqref="E74">
    <cfRule type="expression" dxfId="2785" priority="306">
      <formula>$H74=0</formula>
    </cfRule>
  </conditionalFormatting>
  <conditionalFormatting sqref="E73">
    <cfRule type="expression" dxfId="2784" priority="299">
      <formula>$H73=0</formula>
    </cfRule>
  </conditionalFormatting>
  <conditionalFormatting sqref="E75">
    <cfRule type="expression" dxfId="2783" priority="282">
      <formula>$H75=0</formula>
    </cfRule>
  </conditionalFormatting>
  <conditionalFormatting sqref="E7">
    <cfRule type="expression" dxfId="2782" priority="274">
      <formula>$H7=0</formula>
    </cfRule>
  </conditionalFormatting>
  <conditionalFormatting sqref="P105:P1048576">
    <cfRule type="dataBar" priority="2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2781" priority="258">
      <formula>$H76=0</formula>
    </cfRule>
  </conditionalFormatting>
  <conditionalFormatting sqref="E77">
    <cfRule type="expression" dxfId="2780" priority="245">
      <formula>$H77=0</formula>
    </cfRule>
  </conditionalFormatting>
  <conditionalFormatting sqref="E78">
    <cfRule type="expression" dxfId="2779" priority="231">
      <formula>$H78=0</formula>
    </cfRule>
  </conditionalFormatting>
  <conditionalFormatting sqref="P105:P1048576 P1">
    <cfRule type="dataBar" priority="2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2778" priority="219">
      <formula>$H79=0</formula>
    </cfRule>
  </conditionalFormatting>
  <conditionalFormatting sqref="E80">
    <cfRule type="expression" dxfId="2777" priority="209">
      <formula>$H80=0</formula>
    </cfRule>
  </conditionalFormatting>
  <conditionalFormatting sqref="E81">
    <cfRule type="expression" dxfId="2776" priority="199">
      <formula>$H81=0</formula>
    </cfRule>
  </conditionalFormatting>
  <conditionalFormatting sqref="E82">
    <cfRule type="expression" dxfId="2775" priority="189">
      <formula>$H82=0</formula>
    </cfRule>
  </conditionalFormatting>
  <conditionalFormatting sqref="E83">
    <cfRule type="expression" dxfId="2774" priority="179">
      <formula>$H83=0</formula>
    </cfRule>
  </conditionalFormatting>
  <conditionalFormatting sqref="E84">
    <cfRule type="expression" dxfId="2773" priority="169">
      <formula>$H84=0</formula>
    </cfRule>
  </conditionalFormatting>
  <conditionalFormatting sqref="Q1">
    <cfRule type="dataBar" priority="1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2772" priority="158">
      <formula>$H85=0</formula>
    </cfRule>
  </conditionalFormatting>
  <conditionalFormatting sqref="R105:R1048576">
    <cfRule type="expression" dxfId="2771" priority="990">
      <formula>$O105=0</formula>
    </cfRule>
    <cfRule type="dataBar" priority="9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2770" priority="132">
      <formula>$O1=0</formula>
    </cfRule>
    <cfRule type="dataBar" priority="1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2769" priority="130">
      <formula>$L2=0</formula>
    </cfRule>
  </conditionalFormatting>
  <conditionalFormatting sqref="Q1"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1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1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1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2768" priority="123">
      <formula>K3&gt;0</formula>
    </cfRule>
    <cfRule type="expression" dxfId="2767" priority="124">
      <formula>K3&lt;0</formula>
    </cfRule>
  </conditionalFormatting>
  <conditionalFormatting sqref="K2 K4 K6 K8 K10 K12 K14 K16 K18 K20 K22 K24 K26 K28 K30">
    <cfRule type="expression" dxfId="2766" priority="121">
      <formula>K2&gt;0</formula>
    </cfRule>
    <cfRule type="expression" dxfId="2765" priority="122">
      <formula>K2&lt;0</formula>
    </cfRule>
  </conditionalFormatting>
  <conditionalFormatting sqref="K23 K25 K27 K29">
    <cfRule type="expression" dxfId="2764" priority="119">
      <formula>K23&gt;0</formula>
    </cfRule>
    <cfRule type="expression" dxfId="2763" priority="120">
      <formula>K23&lt;0</formula>
    </cfRule>
  </conditionalFormatting>
  <conditionalFormatting sqref="K31 K33 K40 K35 K42 K37:K38">
    <cfRule type="expression" dxfId="2762" priority="117">
      <formula>K31&gt;0</formula>
    </cfRule>
    <cfRule type="expression" dxfId="2761" priority="118">
      <formula>K31&lt;0</formula>
    </cfRule>
  </conditionalFormatting>
  <conditionalFormatting sqref="K32 K39 K34 K41 K36 K43">
    <cfRule type="expression" dxfId="2760" priority="115">
      <formula>K32&gt;0</formula>
    </cfRule>
    <cfRule type="expression" dxfId="2759" priority="116">
      <formula>K32&lt;0</formula>
    </cfRule>
  </conditionalFormatting>
  <conditionalFormatting sqref="K45 K47 K49 K51 K53">
    <cfRule type="expression" dxfId="2758" priority="113">
      <formula>K45&gt;0</formula>
    </cfRule>
    <cfRule type="expression" dxfId="2757" priority="114">
      <formula>K45&lt;0</formula>
    </cfRule>
  </conditionalFormatting>
  <conditionalFormatting sqref="K46 K48 K50 K52">
    <cfRule type="expression" dxfId="2756" priority="111">
      <formula>K46&gt;0</formula>
    </cfRule>
    <cfRule type="expression" dxfId="2755" priority="112">
      <formula>K46&lt;0</formula>
    </cfRule>
  </conditionalFormatting>
  <conditionalFormatting sqref="K54 K56 K58 K60">
    <cfRule type="expression" dxfId="2754" priority="109">
      <formula>K54&gt;0</formula>
    </cfRule>
    <cfRule type="expression" dxfId="2753" priority="110">
      <formula>K54&lt;0</formula>
    </cfRule>
  </conditionalFormatting>
  <conditionalFormatting sqref="K55 K57 K59">
    <cfRule type="expression" dxfId="2752" priority="107">
      <formula>K55&gt;0</formula>
    </cfRule>
    <cfRule type="expression" dxfId="2751" priority="108">
      <formula>K55&lt;0</formula>
    </cfRule>
  </conditionalFormatting>
  <conditionalFormatting sqref="K68 K70 K72 K74">
    <cfRule type="expression" dxfId="2750" priority="105">
      <formula>K68&gt;0</formula>
    </cfRule>
    <cfRule type="expression" dxfId="2749" priority="106">
      <formula>K68&lt;0</formula>
    </cfRule>
  </conditionalFormatting>
  <conditionalFormatting sqref="K69 K71 K73">
    <cfRule type="expression" dxfId="2748" priority="103">
      <formula>K69&gt;0</formula>
    </cfRule>
    <cfRule type="expression" dxfId="2747" priority="104">
      <formula>K69&lt;0</formula>
    </cfRule>
  </conditionalFormatting>
  <conditionalFormatting sqref="K75 K77 K79 K81 K83">
    <cfRule type="expression" dxfId="2746" priority="101">
      <formula>K75&gt;0</formula>
    </cfRule>
    <cfRule type="expression" dxfId="2745" priority="102">
      <formula>K75&lt;0</formula>
    </cfRule>
  </conditionalFormatting>
  <conditionalFormatting sqref="K76 K78 K80 K82">
    <cfRule type="expression" dxfId="2744" priority="99">
      <formula>K76&gt;0</formula>
    </cfRule>
    <cfRule type="expression" dxfId="2743" priority="100">
      <formula>K76&lt;0</formula>
    </cfRule>
  </conditionalFormatting>
  <conditionalFormatting sqref="K82 K84 K88 K90">
    <cfRule type="expression" dxfId="2742" priority="97">
      <formula>K82&gt;0</formula>
    </cfRule>
    <cfRule type="expression" dxfId="2741" priority="98">
      <formula>K82&lt;0</formula>
    </cfRule>
  </conditionalFormatting>
  <conditionalFormatting sqref="K83 K85 K89">
    <cfRule type="expression" dxfId="2740" priority="95">
      <formula>K83&gt;0</formula>
    </cfRule>
    <cfRule type="expression" dxfId="2739" priority="96">
      <formula>K83&lt;0</formula>
    </cfRule>
  </conditionalFormatting>
  <conditionalFormatting sqref="M105:M200">
    <cfRule type="expression" dxfId="2738" priority="93">
      <formula>$J105=0</formula>
    </cfRule>
  </conditionalFormatting>
  <conditionalFormatting sqref="M105:M458">
    <cfRule type="expression" dxfId="2737" priority="94">
      <formula>$J105&lt;0</formula>
    </cfRule>
  </conditionalFormatting>
  <conditionalFormatting sqref="M3 M5 M7 M9 M11 M13 M15 M17 M19 M21">
    <cfRule type="expression" dxfId="2736" priority="91">
      <formula>M3&gt;0</formula>
    </cfRule>
    <cfRule type="expression" dxfId="2735" priority="92">
      <formula>M3&lt;0</formula>
    </cfRule>
  </conditionalFormatting>
  <conditionalFormatting sqref="M2 M4 M6 M8 M10 M12 M14 M16 M18 M20 M22 M24 M26 M28 M30">
    <cfRule type="expression" dxfId="2734" priority="89">
      <formula>M2&gt;0</formula>
    </cfRule>
    <cfRule type="expression" dxfId="2733" priority="90">
      <formula>M2&lt;0</formula>
    </cfRule>
  </conditionalFormatting>
  <conditionalFormatting sqref="M23 M25 M27 M29">
    <cfRule type="expression" dxfId="2732" priority="87">
      <formula>M23&gt;0</formula>
    </cfRule>
    <cfRule type="expression" dxfId="2731" priority="88">
      <formula>M23&lt;0</formula>
    </cfRule>
  </conditionalFormatting>
  <conditionalFormatting sqref="M31 M33 M40 M35 M42 M37:M38">
    <cfRule type="expression" dxfId="2730" priority="85">
      <formula>M31&gt;0</formula>
    </cfRule>
    <cfRule type="expression" dxfId="2729" priority="86">
      <formula>M31&lt;0</formula>
    </cfRule>
  </conditionalFormatting>
  <conditionalFormatting sqref="M32 M39 M34 M41 M36 M43">
    <cfRule type="expression" dxfId="2728" priority="83">
      <formula>M32&gt;0</formula>
    </cfRule>
    <cfRule type="expression" dxfId="2727" priority="84">
      <formula>M32&lt;0</formula>
    </cfRule>
  </conditionalFormatting>
  <conditionalFormatting sqref="M45 M47 M49 M51 M53">
    <cfRule type="expression" dxfId="2726" priority="81">
      <formula>M45&gt;0</formula>
    </cfRule>
    <cfRule type="expression" dxfId="2725" priority="82">
      <formula>M45&lt;0</formula>
    </cfRule>
  </conditionalFormatting>
  <conditionalFormatting sqref="M46 M48 M50 M52">
    <cfRule type="expression" dxfId="2724" priority="79">
      <formula>M46&gt;0</formula>
    </cfRule>
    <cfRule type="expression" dxfId="2723" priority="80">
      <formula>M46&lt;0</formula>
    </cfRule>
  </conditionalFormatting>
  <conditionalFormatting sqref="M54 M56 M58 M60">
    <cfRule type="expression" dxfId="2722" priority="77">
      <formula>M54&gt;0</formula>
    </cfRule>
    <cfRule type="expression" dxfId="2721" priority="78">
      <formula>M54&lt;0</formula>
    </cfRule>
  </conditionalFormatting>
  <conditionalFormatting sqref="M55 M57 M59 M61">
    <cfRule type="expression" dxfId="2720" priority="75">
      <formula>M55&gt;0</formula>
    </cfRule>
    <cfRule type="expression" dxfId="2719" priority="76">
      <formula>M55&lt;0</formula>
    </cfRule>
  </conditionalFormatting>
  <conditionalFormatting sqref="M68 M70 M72 M74">
    <cfRule type="expression" dxfId="2718" priority="73">
      <formula>M68&gt;0</formula>
    </cfRule>
    <cfRule type="expression" dxfId="2717" priority="74">
      <formula>M68&lt;0</formula>
    </cfRule>
  </conditionalFormatting>
  <conditionalFormatting sqref="M67 M69 M71 M73">
    <cfRule type="expression" dxfId="2716" priority="71">
      <formula>M67&gt;0</formula>
    </cfRule>
    <cfRule type="expression" dxfId="2715" priority="72">
      <formula>M67&lt;0</formula>
    </cfRule>
  </conditionalFormatting>
  <conditionalFormatting sqref="M75 M77 M79 M81 M83">
    <cfRule type="expression" dxfId="2714" priority="69">
      <formula>M75&gt;0</formula>
    </cfRule>
    <cfRule type="expression" dxfId="2713" priority="70">
      <formula>M75&lt;0</formula>
    </cfRule>
  </conditionalFormatting>
  <conditionalFormatting sqref="M76 M78 M80 M82">
    <cfRule type="expression" dxfId="2712" priority="67">
      <formula>M76&gt;0</formula>
    </cfRule>
    <cfRule type="expression" dxfId="2711" priority="68">
      <formula>M76&lt;0</formula>
    </cfRule>
  </conditionalFormatting>
  <conditionalFormatting sqref="M82 M84 M88 M90">
    <cfRule type="expression" dxfId="2710" priority="65">
      <formula>M82&gt;0</formula>
    </cfRule>
    <cfRule type="expression" dxfId="2709" priority="66">
      <formula>M82&lt;0</formula>
    </cfRule>
  </conditionalFormatting>
  <conditionalFormatting sqref="M83 M85 M89">
    <cfRule type="expression" dxfId="2708" priority="63">
      <formula>M83&gt;0</formula>
    </cfRule>
    <cfRule type="expression" dxfId="2707" priority="64">
      <formula>M83&lt;0</formula>
    </cfRule>
  </conditionalFormatting>
  <conditionalFormatting sqref="L105:L200">
    <cfRule type="expression" dxfId="2706" priority="61">
      <formula>$J105=0</formula>
    </cfRule>
  </conditionalFormatting>
  <conditionalFormatting sqref="L105:L458">
    <cfRule type="expression" dxfId="2705" priority="62">
      <formula>$J105&lt;0</formula>
    </cfRule>
  </conditionalFormatting>
  <conditionalFormatting sqref="L3 L5 L7 L9 L11 L13 L15 L17 L19 L21">
    <cfRule type="expression" dxfId="2704" priority="59">
      <formula>L3&gt;0</formula>
    </cfRule>
    <cfRule type="expression" dxfId="2703" priority="60">
      <formula>L3&lt;0</formula>
    </cfRule>
  </conditionalFormatting>
  <conditionalFormatting sqref="L2 L4 L6 L8 L10 L12 L14 L16 L18 L20 L22 L24 L26 L28 L30">
    <cfRule type="expression" dxfId="2702" priority="57">
      <formula>L2&gt;0</formula>
    </cfRule>
    <cfRule type="expression" dxfId="2701" priority="58">
      <formula>L2&lt;0</formula>
    </cfRule>
  </conditionalFormatting>
  <conditionalFormatting sqref="L23 L25 L27 L29">
    <cfRule type="expression" dxfId="2700" priority="55">
      <formula>L23&gt;0</formula>
    </cfRule>
    <cfRule type="expression" dxfId="2699" priority="56">
      <formula>L23&lt;0</formula>
    </cfRule>
  </conditionalFormatting>
  <conditionalFormatting sqref="L31 L33 L40 L35 L42 L37:L38">
    <cfRule type="expression" dxfId="2698" priority="53">
      <formula>L31&gt;0</formula>
    </cfRule>
    <cfRule type="expression" dxfId="2697" priority="54">
      <formula>L31&lt;0</formula>
    </cfRule>
  </conditionalFormatting>
  <conditionalFormatting sqref="L32 L39 L34 L41 L36 L43">
    <cfRule type="expression" dxfId="2696" priority="51">
      <formula>L32&gt;0</formula>
    </cfRule>
    <cfRule type="expression" dxfId="2695" priority="52">
      <formula>L32&lt;0</formula>
    </cfRule>
  </conditionalFormatting>
  <conditionalFormatting sqref="L45 L47 L49 L51 L53">
    <cfRule type="expression" dxfId="2694" priority="49">
      <formula>L45&gt;0</formula>
    </cfRule>
    <cfRule type="expression" dxfId="2693" priority="50">
      <formula>L45&lt;0</formula>
    </cfRule>
  </conditionalFormatting>
  <conditionalFormatting sqref="L46 L48 L50 L52">
    <cfRule type="expression" dxfId="2692" priority="47">
      <formula>L46&gt;0</formula>
    </cfRule>
    <cfRule type="expression" dxfId="2691" priority="48">
      <formula>L46&lt;0</formula>
    </cfRule>
  </conditionalFormatting>
  <conditionalFormatting sqref="L54 L56 L58 L60 L62">
    <cfRule type="expression" dxfId="2690" priority="45">
      <formula>L54&gt;0</formula>
    </cfRule>
    <cfRule type="expression" dxfId="2689" priority="46">
      <formula>L54&lt;0</formula>
    </cfRule>
  </conditionalFormatting>
  <conditionalFormatting sqref="L55 L57 L59 L61">
    <cfRule type="expression" dxfId="2688" priority="43">
      <formula>L55&gt;0</formula>
    </cfRule>
    <cfRule type="expression" dxfId="2687" priority="44">
      <formula>L55&lt;0</formula>
    </cfRule>
  </conditionalFormatting>
  <conditionalFormatting sqref="L66 L68 L70 L72 L74">
    <cfRule type="expression" dxfId="2686" priority="41">
      <formula>L66&gt;0</formula>
    </cfRule>
    <cfRule type="expression" dxfId="2685" priority="42">
      <formula>L66&lt;0</formula>
    </cfRule>
  </conditionalFormatting>
  <conditionalFormatting sqref="L58:L79">
    <cfRule type="expression" dxfId="2684" priority="39">
      <formula>L58&gt;0</formula>
    </cfRule>
    <cfRule type="expression" dxfId="2683" priority="40">
      <formula>L58&lt;0</formula>
    </cfRule>
  </conditionalFormatting>
  <conditionalFormatting sqref="L75 L77 L79 L81 L83">
    <cfRule type="expression" dxfId="2682" priority="37">
      <formula>L75&gt;0</formula>
    </cfRule>
    <cfRule type="expression" dxfId="2681" priority="38">
      <formula>L75&lt;0</formula>
    </cfRule>
  </conditionalFormatting>
  <conditionalFormatting sqref="L76 L78 L80 L82">
    <cfRule type="expression" dxfId="2680" priority="35">
      <formula>L76&gt;0</formula>
    </cfRule>
    <cfRule type="expression" dxfId="2679" priority="36">
      <formula>L76&lt;0</formula>
    </cfRule>
  </conditionalFormatting>
  <conditionalFormatting sqref="L82 L84 L88 L90">
    <cfRule type="expression" dxfId="2678" priority="33">
      <formula>L82&gt;0</formula>
    </cfRule>
    <cfRule type="expression" dxfId="2677" priority="34">
      <formula>L82&lt;0</formula>
    </cfRule>
  </conditionalFormatting>
  <conditionalFormatting sqref="L83 L85 L89">
    <cfRule type="expression" dxfId="2676" priority="31">
      <formula>L83&gt;0</formula>
    </cfRule>
    <cfRule type="expression" dxfId="2675" priority="32">
      <formula>L83&lt;0</formula>
    </cfRule>
  </conditionalFormatting>
  <conditionalFormatting sqref="I1:I85 I88:I1048576">
    <cfRule type="dataBar" priority="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2674" priority="28">
      <formula>M44&gt;0</formula>
    </cfRule>
    <cfRule type="expression" dxfId="2673" priority="29">
      <formula>M44&lt;0</formula>
    </cfRule>
  </conditionalFormatting>
  <conditionalFormatting sqref="M62:M66">
    <cfRule type="expression" dxfId="2672" priority="26">
      <formula>M62&gt;0</formula>
    </cfRule>
    <cfRule type="expression" dxfId="2671" priority="27">
      <formula>M62&lt;0</formula>
    </cfRule>
  </conditionalFormatting>
  <conditionalFormatting sqref="E86">
    <cfRule type="expression" dxfId="2670" priority="25">
      <formula>$H86=0</formula>
    </cfRule>
  </conditionalFormatting>
  <conditionalFormatting sqref="K86">
    <cfRule type="expression" dxfId="2669" priority="23">
      <formula>K86&gt;0</formula>
    </cfRule>
    <cfRule type="expression" dxfId="2668" priority="24">
      <formula>K86&lt;0</formula>
    </cfRule>
  </conditionalFormatting>
  <conditionalFormatting sqref="M86">
    <cfRule type="expression" dxfId="2667" priority="21">
      <formula>M86&gt;0</formula>
    </cfRule>
    <cfRule type="expression" dxfId="2666" priority="22">
      <formula>M86&lt;0</formula>
    </cfRule>
  </conditionalFormatting>
  <conditionalFormatting sqref="L86">
    <cfRule type="expression" dxfId="2665" priority="19">
      <formula>L86&gt;0</formula>
    </cfRule>
    <cfRule type="expression" dxfId="2664" priority="20">
      <formula>L86&lt;0</formula>
    </cfRule>
  </conditionalFormatting>
  <conditionalFormatting sqref="I86">
    <cfRule type="dataBar" priority="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{4DB59BBA-234E-415C-A476-C5F753F748D3}</x14:id>
        </ext>
      </extLst>
    </cfRule>
  </conditionalFormatting>
  <conditionalFormatting sqref="J1:J85 J88:J1048576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86">
    <cfRule type="dataBar" priority="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{3FE2880F-939E-47E8-938F-7673014E587C}</x14:id>
        </ext>
      </extLst>
    </cfRule>
  </conditionalFormatting>
  <conditionalFormatting sqref="J1:J86 J88:J1048576">
    <cfRule type="dataBar" priority="1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2663" priority="13">
      <formula>K61&gt;0</formula>
    </cfRule>
    <cfRule type="expression" dxfId="2662" priority="14">
      <formula>K61&lt;0</formula>
    </cfRule>
  </conditionalFormatting>
  <conditionalFormatting sqref="K44">
    <cfRule type="expression" dxfId="2661" priority="11">
      <formula>K44&gt;0</formula>
    </cfRule>
    <cfRule type="expression" dxfId="2660" priority="12">
      <formula>K44&lt;0</formula>
    </cfRule>
  </conditionalFormatting>
  <conditionalFormatting sqref="E87">
    <cfRule type="expression" dxfId="2659" priority="10">
      <formula>$H87=0</formula>
    </cfRule>
  </conditionalFormatting>
  <conditionalFormatting sqref="K87">
    <cfRule type="expression" dxfId="2658" priority="8">
      <formula>K87&gt;0</formula>
    </cfRule>
    <cfRule type="expression" dxfId="2657" priority="9">
      <formula>K87&lt;0</formula>
    </cfRule>
  </conditionalFormatting>
  <conditionalFormatting sqref="M87">
    <cfRule type="expression" dxfId="2656" priority="6">
      <formula>M87&gt;0</formula>
    </cfRule>
    <cfRule type="expression" dxfId="2655" priority="7">
      <formula>M87&lt;0</formula>
    </cfRule>
  </conditionalFormatting>
  <conditionalFormatting sqref="L87">
    <cfRule type="expression" dxfId="2654" priority="4">
      <formula>L87&gt;0</formula>
    </cfRule>
    <cfRule type="expression" dxfId="2653" priority="5">
      <formula>L87&lt;0</formula>
    </cfRule>
  </conditionalFormatting>
  <conditionalFormatting sqref="I87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{A026F2EA-4476-4AA1-B0A3-4B5A3CE736DE}</x14:id>
        </ext>
      </extLst>
    </cfRule>
  </conditionalFormatting>
  <conditionalFormatting sqref="J87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{2F11D949-8CFF-4895-BB53-64259D5C143A}</x14:id>
        </ext>
      </extLst>
    </cfRule>
  </conditionalFormatting>
  <conditionalFormatting sqref="J87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{49095F16-4791-4B90-B0DF-EEC602492893}</x14:id>
        </ext>
      </extLst>
    </cfRule>
  </conditionalFormatting>
  <hyperlinks>
    <hyperlink ref="E27" location="BIIB!A1" display="BIIB"/>
    <hyperlink ref="E28" location="MYL!A1" display="MYL"/>
    <hyperlink ref="E29" location="SIG!A1" display="SIG"/>
    <hyperlink ref="E19" location="NVR!A1" display="NVR"/>
    <hyperlink ref="E30" location="AAPL!A1" display="AAPL"/>
    <hyperlink ref="E31" location="AXP!A1" display="AXP"/>
    <hyperlink ref="E32" location="DG!A1" display="DG"/>
    <hyperlink ref="E33" location="PINC!A1" display="PINC"/>
    <hyperlink ref="E34" location="FOXA!A1" display="FOXA"/>
    <hyperlink ref="E35" location="AOBC!A1" display="AOBC"/>
    <hyperlink ref="E36" location="LUV!A1" display="LUV"/>
    <hyperlink ref="E37" location="CCE!A1" display="CCE"/>
    <hyperlink ref="E38" location="BMY!A1" display="BMY"/>
    <hyperlink ref="E39" location="GPS!A1" display="GPS"/>
    <hyperlink ref="E40" location="AKAM!A1" display="AKAM"/>
    <hyperlink ref="E41" location="ARNC!A1" display="ARNC"/>
    <hyperlink ref="E21" location="IEMG!A1" display="IEMG"/>
    <hyperlink ref="E16" location="CVS!A1" display="CVS"/>
    <hyperlink ref="E42" location="ADBE!A1" display="ADBE"/>
    <hyperlink ref="E4" location="MRO!A1" display="MRO"/>
    <hyperlink ref="E23" location="GE!A1" display="GE"/>
    <hyperlink ref="E11" location="XRAY!A1" display="XRAY"/>
    <hyperlink ref="E43" location="XLP!A1" display="XLP"/>
    <hyperlink ref="E3" location="KR!A1" display="KR"/>
    <hyperlink ref="E44" location="F!A1" display="F"/>
    <hyperlink ref="E17" location="JNJ!A1" display="JNJ"/>
    <hyperlink ref="E14" location="ULTA!A1" display="ULTA"/>
    <hyperlink ref="E45" location="FRC!A1" display="FRC"/>
    <hyperlink ref="E46" location="AAP!A1" display="AAP"/>
    <hyperlink ref="E22" location="CMCSA!A1" display="CMCSA"/>
    <hyperlink ref="E47" location="XEC!A1" display="XEC"/>
    <hyperlink ref="E5" location="MO!A1" display="MO"/>
    <hyperlink ref="E2" location="T!A1" display="T"/>
    <hyperlink ref="E48" location="COST!A1" display="COST"/>
    <hyperlink ref="E49" location="CPN!A1" display="CPN"/>
    <hyperlink ref="E50" location="EW!A1" display="EW"/>
    <hyperlink ref="E51" location="TJX!A1" display="TJX"/>
    <hyperlink ref="E25" location="QQQ!A1" display="QQQ"/>
    <hyperlink ref="E6" location="WBA!A1" display="WBA"/>
    <hyperlink ref="E52" location="AZO!A1" display="AZO"/>
    <hyperlink ref="E26" location="FL!A1" display="FL"/>
    <hyperlink ref="E53" location="MLM!A1" display="MLM"/>
    <hyperlink ref="E18" location="KHC!A1" display="KHC"/>
    <hyperlink ref="E54" location="KBWY!A1" display="KBWY"/>
    <hyperlink ref="E12" location="AYI!A1" display="AYI"/>
    <hyperlink ref="E55" location="DIA!A1" display="DIA"/>
    <hyperlink ref="E24" location="ICE!A1" display="ICE"/>
    <hyperlink ref="E56" location="NKE!A1" display="NKE"/>
    <hyperlink ref="E8" location="MOS!A1" display="MOS"/>
    <hyperlink ref="E57" location="VGK!A1" display="VGK"/>
    <hyperlink ref="E58" location="CMG!A1" display="CMG"/>
    <hyperlink ref="E59" location="HAS!A1" display="HAS"/>
    <hyperlink ref="E60" location="HSIC!A1" display="HSIC"/>
    <hyperlink ref="E9" location="PDCO!A1" display="PDCO"/>
    <hyperlink ref="E61" location="MU!A1" display="MU"/>
    <hyperlink ref="E62" location="IP!A1" display="IP"/>
    <hyperlink ref="E63" location="INTC!A1" display="INTC"/>
    <hyperlink ref="E64" location="HES!A1" display="HES"/>
    <hyperlink ref="E65" location="UNP!A1" display="UNP"/>
    <hyperlink ref="E66" location="NCLH!A1" display="NCLH"/>
    <hyperlink ref="E67" location="SPY!A1" display="SPY"/>
    <hyperlink ref="E68" location="SWKS!A1" display="SWKS"/>
    <hyperlink ref="E69" location="CNI!A1" display="CNI"/>
    <hyperlink ref="E15" location="WFC!A1" display="WFC"/>
    <hyperlink ref="E70" location="AA!A1" display="AA"/>
    <hyperlink ref="E71" location="CF!A1" display="CF"/>
    <hyperlink ref="E72" location="TGT!A1" display="TGT"/>
    <hyperlink ref="E10" location="NWL!A1" display="NWL"/>
    <hyperlink ref="E73" location="KORS!A1" display="KORS"/>
    <hyperlink ref="E74" location="ALL!A1" display="ALL"/>
    <hyperlink ref="E75" location="NSC!A1" display="NSC"/>
    <hyperlink ref="E76" location="AVGO!A1" display="AVGO"/>
    <hyperlink ref="E77" location="UAL!A1" display="UAL"/>
    <hyperlink ref="E7" location="CAH!A1" display="CAH"/>
    <hyperlink ref="E20" location="DAL!A1" display="DAL"/>
    <hyperlink ref="E78" location="TEVA!A1" display="TEVA"/>
    <hyperlink ref="E79" location="DIS!A1" display="DIS"/>
    <hyperlink ref="E80" location="FTR!A1" display="FTR"/>
    <hyperlink ref="E81" location="GILD!A1" display="GILD"/>
    <hyperlink ref="E82" location="WWD!A1" display="WWD"/>
    <hyperlink ref="E13" location="GIS!A1" display="GIS"/>
    <hyperlink ref="E83" location="GM!A1" display="GM"/>
    <hyperlink ref="E84" location="TMO!A1" display="TMO"/>
    <hyperlink ref="E85" location="TKR!A1" display="TKR"/>
    <hyperlink ref="E86" location="UTX!A1" display="UTX"/>
    <hyperlink ref="E87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I88:I1048576</xm:sqref>
        </x14:conditionalFormatting>
        <x14:conditionalFormatting xmlns:xm="http://schemas.microsoft.com/office/excel/2006/main">
          <x14:cfRule type="dataBar" id="{4DB59BBA-234E-415C-A476-C5F753F748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J88:J1048576</xm:sqref>
        </x14:conditionalFormatting>
        <x14:conditionalFormatting xmlns:xm="http://schemas.microsoft.com/office/excel/2006/main">
          <x14:cfRule type="dataBar" id="{3FE2880F-939E-47E8-938F-7673014E587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J1:J86 J88:J1048576</xm:sqref>
        </x14:conditionalFormatting>
        <x14:conditionalFormatting xmlns:xm="http://schemas.microsoft.com/office/excel/2006/main">
          <x14:cfRule type="dataBar" id="{A026F2EA-4476-4AA1-B0A3-4B5A3CE736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I87</xm:sqref>
        </x14:conditionalFormatting>
        <x14:conditionalFormatting xmlns:xm="http://schemas.microsoft.com/office/excel/2006/main">
          <x14:cfRule type="dataBar" id="{2F11D949-8CFF-4895-BB53-64259D5C14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J87</xm:sqref>
        </x14:conditionalFormatting>
        <x14:conditionalFormatting xmlns:xm="http://schemas.microsoft.com/office/excel/2006/main">
          <x14:cfRule type="dataBar" id="{49095F16-4791-4B90-B0DF-EEC60249289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E1" workbookViewId="0">
      <pane ySplit="1" topLeftCell="A262" activePane="bottomLeft" state="frozen"/>
      <selection activeCell="E5" sqref="E5"/>
      <selection pane="bottomLeft" activeCell="T298" sqref="T298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56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56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56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56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378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56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56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220</v>
      </c>
      <c r="R251" s="429"/>
      <c r="S251" s="410" t="s">
        <v>215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251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T302</f>
        <v>1137.9500000000005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101687.96276666821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-R302</f>
        <v>100512.23276666827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100512.22999999998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2.7666682872222736E-3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>
        <v>43281</v>
      </c>
      <c r="T296" s="408">
        <v>7.58</v>
      </c>
    </row>
    <row r="297" spans="1:20" ht="18" customHeight="1" x14ac:dyDescent="0.25">
      <c r="A297" s="483"/>
      <c r="Q297" s="347"/>
      <c r="R297" s="429"/>
      <c r="S297" s="448">
        <v>43305</v>
      </c>
      <c r="T297" s="408">
        <v>12.01</v>
      </c>
    </row>
    <row r="298" spans="1:20" ht="18" customHeight="1" x14ac:dyDescent="0.25">
      <c r="A298" s="483"/>
      <c r="Q298" s="347"/>
      <c r="R298" s="429"/>
      <c r="S298" s="448"/>
      <c r="T298" s="408"/>
    </row>
    <row r="299" spans="1:20" ht="18" customHeight="1" x14ac:dyDescent="0.25">
      <c r="A299" s="482"/>
      <c r="Q299" s="347"/>
      <c r="R299" s="429"/>
      <c r="S299" s="448"/>
      <c r="T299" s="408"/>
    </row>
    <row r="300" spans="1:20" ht="18" customHeight="1" x14ac:dyDescent="0.25">
      <c r="A300" s="483"/>
      <c r="Q300" s="347"/>
      <c r="R300" s="429"/>
      <c r="S300" s="448"/>
      <c r="T300" s="408"/>
    </row>
    <row r="301" spans="1:20" ht="18" customHeight="1" x14ac:dyDescent="0.25">
      <c r="A301" s="483"/>
      <c r="Q301" s="347"/>
      <c r="R301" s="429"/>
      <c r="S301" s="448"/>
      <c r="T301" s="408"/>
    </row>
    <row r="302" spans="1:20" ht="18" customHeight="1" x14ac:dyDescent="0.25">
      <c r="A302" s="482"/>
      <c r="Q302" s="347" t="s">
        <v>81</v>
      </c>
      <c r="R302" s="429">
        <f>SUM(R252:R271)</f>
        <v>1.5</v>
      </c>
      <c r="S302" s="409" t="s">
        <v>81</v>
      </c>
      <c r="T302" s="408">
        <f>SUM(T252:T301)</f>
        <v>1137.9500000000005</v>
      </c>
    </row>
    <row r="303" spans="1:20" ht="18" customHeight="1" x14ac:dyDescent="0.25">
      <c r="A303" s="483"/>
    </row>
    <row r="304" spans="1:20" ht="18" customHeight="1" x14ac:dyDescent="0.25">
      <c r="A304" s="483"/>
    </row>
    <row r="305" spans="1:1" ht="18" customHeight="1" x14ac:dyDescent="0.25">
      <c r="A305" s="483"/>
    </row>
  </sheetData>
  <mergeCells count="3">
    <mergeCell ref="B12:B13"/>
    <mergeCell ref="B14:B15"/>
    <mergeCell ref="B185:B186"/>
  </mergeCells>
  <conditionalFormatting sqref="Q13">
    <cfRule type="expression" dxfId="2652" priority="7">
      <formula>#REF!&gt;0</formula>
    </cfRule>
    <cfRule type="expression" dxfId="2651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98"/>
  <sheetViews>
    <sheetView zoomScaleNormal="100" workbookViewId="0">
      <pane ySplit="1" topLeftCell="A673" activePane="bottomLeft" state="frozen"/>
      <selection pane="bottomLeft" activeCell="T699" sqref="T699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2.5703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278</v>
      </c>
      <c r="H1" s="335" t="s">
        <v>277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767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213</v>
      </c>
      <c r="U1" s="337" t="s">
        <v>214</v>
      </c>
      <c r="V1" s="336" t="s">
        <v>218</v>
      </c>
      <c r="W1" s="336" t="s">
        <v>219</v>
      </c>
      <c r="X1" s="336" t="s">
        <v>944</v>
      </c>
      <c r="Y1" s="336" t="s">
        <v>943</v>
      </c>
      <c r="Z1" s="336" t="s">
        <v>920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2"/>
      <c r="AA2" s="328">
        <f>LOOKUP(2,1/(M:M&lt;&gt;""),M:M)</f>
        <v>100512.22999999998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1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2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ref="N3:N29" si="3">M3/J3</f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2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1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2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3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2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1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2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3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2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1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2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3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2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1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2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3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3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1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2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3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3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1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2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3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3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1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2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3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3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1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2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3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3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1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2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3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2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1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2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3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2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1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2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3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2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1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2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3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2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1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2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3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2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1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2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3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3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1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2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3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3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1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2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3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3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1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2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3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3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1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2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3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2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1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2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3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2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1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2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3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2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1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2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3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2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1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2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3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2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1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2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3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4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1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2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3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4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1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2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3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4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1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3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4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1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4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1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4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1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4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1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4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1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4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1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4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1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4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1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4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1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4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1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4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1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4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1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4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1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4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1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4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1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4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1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4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1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4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1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4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1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4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1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4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1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4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1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4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1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4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1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4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1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4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1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4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1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4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1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4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1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4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1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4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1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4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1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4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1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4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1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4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1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4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1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4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1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4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4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4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4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4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4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4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4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4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4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4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4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4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4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4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4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4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4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4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4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4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4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4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4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4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4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4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4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4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4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4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4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4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4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4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4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4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4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4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4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4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4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4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4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4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4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4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4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4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4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4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4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4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4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4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4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4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4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4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4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4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4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4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4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4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4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4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4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4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4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4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4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4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4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4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4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4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4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4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4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4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4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4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4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4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4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4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4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4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4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4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4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4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4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4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4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4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4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4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4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4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4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4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4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4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4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4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4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4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4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4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4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4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4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4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4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4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4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4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4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4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4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4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4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4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4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4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4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4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4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4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4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4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4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4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4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4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4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4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4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4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4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4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4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4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4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4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4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4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4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4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4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4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4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4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4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4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4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4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4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4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4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4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4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4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4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4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4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4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4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4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4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4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4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4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4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4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4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4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4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4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4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4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4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4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4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4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4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4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4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4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4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4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4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4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4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4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4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4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4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4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4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4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4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4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4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4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4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4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4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4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4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4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4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4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4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4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4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4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4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4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4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4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4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4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4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4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4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4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4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4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4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4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4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4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4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4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4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4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4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4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4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4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4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4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4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4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4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4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4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4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4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4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4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4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4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4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4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4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4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4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4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4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4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4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4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4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4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4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4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4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4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4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4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4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4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4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4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4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4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4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4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4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4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4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4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4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4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4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4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4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4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4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4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4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4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:E425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:H393" si="176">(F362-F$2)/F$2</f>
        <v>0.1466838187638706</v>
      </c>
      <c r="I362" s="539">
        <v>324795.14</v>
      </c>
      <c r="J362" s="244">
        <v>300000</v>
      </c>
      <c r="K362" s="244">
        <f t="shared" ref="K362:K393" si="177">I362-I361-J362+J361</f>
        <v>702.75</v>
      </c>
      <c r="L362" s="168">
        <f t="shared" si="155"/>
        <v>2.1683631633559798E-3</v>
      </c>
      <c r="M362" s="572">
        <f t="shared" ref="M362:M425" si="178">I362-J362</f>
        <v>24795.140000000014</v>
      </c>
      <c r="N362" s="246">
        <f t="shared" ref="N362:N378" si="179">M362/J362</f>
        <v>8.2650466666666714E-2</v>
      </c>
      <c r="O362" s="179">
        <f t="shared" si="159"/>
        <v>5.4887423545454575E-2</v>
      </c>
      <c r="P362" s="245" t="b">
        <f t="shared" ref="P362:P425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:S393" si="181">I362-R362</f>
        <v>45928.790000000037</v>
      </c>
      <c r="T362" s="244">
        <v>-28366</v>
      </c>
      <c r="U362" s="244">
        <f t="shared" ref="U362:U393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4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si="175"/>
        <v>0.12506421110709465</v>
      </c>
      <c r="F363" s="215">
        <v>5865.94</v>
      </c>
      <c r="G363" s="168">
        <f t="shared" si="174"/>
        <v>4.6877917024202662E-3</v>
      </c>
      <c r="H363" s="199">
        <f t="shared" si="176"/>
        <v>0.15205923365477145</v>
      </c>
      <c r="I363" s="217">
        <v>327591.99</v>
      </c>
      <c r="J363" s="170">
        <v>300000</v>
      </c>
      <c r="K363" s="170">
        <f t="shared" si="177"/>
        <v>2796.8499999999767</v>
      </c>
      <c r="L363" s="168">
        <f t="shared" si="155"/>
        <v>8.6111202279688555E-3</v>
      </c>
      <c r="M363" s="178">
        <f t="shared" si="178"/>
        <v>27591.989999999991</v>
      </c>
      <c r="N363" s="180">
        <f t="shared" si="179"/>
        <v>9.1973299999999966E-2</v>
      </c>
      <c r="O363" s="179">
        <f t="shared" si="159"/>
        <v>6.0637631453068573E-2</v>
      </c>
      <c r="P363" s="178" t="b">
        <f t="shared" si="180"/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si="181"/>
        <v>50375.089999999967</v>
      </c>
      <c r="T363" s="170">
        <v>-27825</v>
      </c>
      <c r="U363" s="170">
        <f t="shared" si="182"/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4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>(C364-C363)/C363</f>
        <v>-1.0822785345271986E-3</v>
      </c>
      <c r="E364" s="205">
        <f t="shared" si="175"/>
        <v>0.12384657826144865</v>
      </c>
      <c r="F364" s="215">
        <v>5860.62</v>
      </c>
      <c r="G364" s="168">
        <f t="shared" si="174"/>
        <v>-9.069305175299627E-4</v>
      </c>
      <c r="H364" s="199">
        <f t="shared" si="176"/>
        <v>0.15101439597776775</v>
      </c>
      <c r="I364" s="217">
        <v>323529.21999999997</v>
      </c>
      <c r="J364" s="170">
        <v>300000</v>
      </c>
      <c r="K364" s="170">
        <f t="shared" si="177"/>
        <v>-4062.7700000000186</v>
      </c>
      <c r="L364" s="168">
        <f t="shared" si="155"/>
        <v>-1.2401921060402053E-2</v>
      </c>
      <c r="M364" s="178">
        <f t="shared" si="178"/>
        <v>23529.219999999972</v>
      </c>
      <c r="N364" s="180">
        <f t="shared" si="179"/>
        <v>7.8430733333333238E-2</v>
      </c>
      <c r="O364" s="179">
        <f t="shared" si="159"/>
        <v>5.1615901531531463E-2</v>
      </c>
      <c r="P364" s="178" t="b">
        <f t="shared" si="180"/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si="181"/>
        <v>40590.219999999972</v>
      </c>
      <c r="T364" s="170">
        <v>-27755</v>
      </c>
      <c r="U364" s="170">
        <f t="shared" si="182"/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4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>(C365-C364)/C364</f>
        <v>4.1899086684545658E-4</v>
      </c>
      <c r="E365" s="205">
        <f t="shared" si="175"/>
        <v>0.12431745971347571</v>
      </c>
      <c r="F365" s="215">
        <v>5835.5</v>
      </c>
      <c r="G365" s="168">
        <f t="shared" si="174"/>
        <v>-4.2862359272568245E-3</v>
      </c>
      <c r="H365" s="199">
        <f t="shared" si="176"/>
        <v>0.14608087672093803</v>
      </c>
      <c r="I365" s="217">
        <v>324343.32</v>
      </c>
      <c r="J365" s="170">
        <v>300000</v>
      </c>
      <c r="K365" s="170">
        <f t="shared" si="177"/>
        <v>814.10000000003492</v>
      </c>
      <c r="L365" s="168">
        <f t="shared" si="155"/>
        <v>2.5163105823951077E-3</v>
      </c>
      <c r="M365" s="178">
        <f t="shared" si="178"/>
        <v>24343.320000000007</v>
      </c>
      <c r="N365" s="180">
        <f t="shared" si="179"/>
        <v>8.1144400000000019E-2</v>
      </c>
      <c r="O365" s="179">
        <f t="shared" si="159"/>
        <v>5.3305741187050372E-2</v>
      </c>
      <c r="P365" s="178" t="b">
        <f t="shared" si="180"/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si="181"/>
        <v>39006.22000000003</v>
      </c>
      <c r="T365" s="170">
        <v>-27553</v>
      </c>
      <c r="U365" s="170">
        <f t="shared" si="182"/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4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>(C366-C365)/C365</f>
        <v>1.4933518345383937E-3</v>
      </c>
      <c r="E366" s="205">
        <f t="shared" si="175"/>
        <v>0.12599646125454239</v>
      </c>
      <c r="F366" s="215">
        <v>5845.3</v>
      </c>
      <c r="G366" s="168">
        <f t="shared" si="174"/>
        <v>1.6793762316854052E-3</v>
      </c>
      <c r="H366" s="199">
        <f t="shared" si="176"/>
        <v>0.14800557770489237</v>
      </c>
      <c r="I366" s="217">
        <v>322787.92</v>
      </c>
      <c r="J366" s="170">
        <v>300000</v>
      </c>
      <c r="K366" s="170">
        <f t="shared" si="177"/>
        <v>-1555.4000000000233</v>
      </c>
      <c r="L366" s="168">
        <f t="shared" si="155"/>
        <v>-4.7955357921353929E-3</v>
      </c>
      <c r="M366" s="178">
        <f t="shared" si="178"/>
        <v>22787.919999999984</v>
      </c>
      <c r="N366" s="180">
        <f t="shared" si="179"/>
        <v>7.5959733333333279E-2</v>
      </c>
      <c r="O366" s="179">
        <f t="shared" si="159"/>
        <v>4.9810220107719891E-2</v>
      </c>
      <c r="P366" s="178" t="b">
        <f t="shared" si="180"/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si="181"/>
        <v>41400.169999999984</v>
      </c>
      <c r="T366" s="170">
        <v>-27481</v>
      </c>
      <c r="U366" s="170">
        <f t="shared" si="182"/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4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>(C367-C366)/C366</f>
        <v>1.0180202252316332E-3</v>
      </c>
      <c r="E367" s="240">
        <f t="shared" si="175"/>
        <v>0.12714274842563875</v>
      </c>
      <c r="F367" s="241">
        <v>5861.89</v>
      </c>
      <c r="G367" s="168">
        <f t="shared" si="174"/>
        <v>2.8381776812139918E-3</v>
      </c>
      <c r="H367" s="242">
        <f t="shared" si="176"/>
        <v>0.15126382151344356</v>
      </c>
      <c r="I367" s="539">
        <v>323797.27</v>
      </c>
      <c r="J367" s="244">
        <v>300000</v>
      </c>
      <c r="K367" s="244">
        <f t="shared" si="177"/>
        <v>1009.3500000000349</v>
      </c>
      <c r="L367" s="168">
        <f t="shared" si="155"/>
        <v>3.126975755474477E-3</v>
      </c>
      <c r="M367" s="572">
        <f t="shared" si="178"/>
        <v>23797.270000000019</v>
      </c>
      <c r="N367" s="246">
        <f t="shared" si="179"/>
        <v>7.9324233333333397E-2</v>
      </c>
      <c r="O367" s="179">
        <f t="shared" si="159"/>
        <v>5.1737814687500043E-2</v>
      </c>
      <c r="P367" s="245" t="b">
        <f t="shared" si="180"/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si="181"/>
        <v>32738.170000000042</v>
      </c>
      <c r="T367" s="244">
        <v>-27481</v>
      </c>
      <c r="U367" s="244">
        <f t="shared" si="182"/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4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>(C368-C367)/C367</f>
        <v>-2.5783310475789123E-3</v>
      </c>
      <c r="E368" s="240">
        <f t="shared" si="175"/>
        <v>0.1242366012823195</v>
      </c>
      <c r="F368" s="241">
        <v>5825.43</v>
      </c>
      <c r="G368" s="168">
        <f>(F368-F367)/F367</f>
        <v>-6.2198369467867934E-3</v>
      </c>
      <c r="H368" s="242">
        <f t="shared" si="176"/>
        <v>0.14410314826089529</v>
      </c>
      <c r="I368" s="638">
        <v>320573.07</v>
      </c>
      <c r="J368" s="244">
        <v>300000</v>
      </c>
      <c r="K368" s="244">
        <f t="shared" si="177"/>
        <v>-3224.2000000000116</v>
      </c>
      <c r="L368" s="168">
        <f t="shared" si="155"/>
        <v>-9.9574650521297211E-3</v>
      </c>
      <c r="M368" s="405">
        <f t="shared" si="178"/>
        <v>20573.070000000007</v>
      </c>
      <c r="N368" s="246">
        <f t="shared" si="179"/>
        <v>6.8576900000000024E-2</v>
      </c>
      <c r="O368" s="179">
        <f t="shared" si="159"/>
        <v>4.4648329278074883E-2</v>
      </c>
      <c r="P368" s="245" t="b">
        <f t="shared" si="180"/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si="181"/>
        <v>29512.97000000003</v>
      </c>
      <c r="T368" s="244">
        <v>-28947</v>
      </c>
      <c r="U368" s="244">
        <f t="shared" si="182"/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4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183">(C369-C368)/C368</f>
        <v>1.3673825117192197E-2</v>
      </c>
      <c r="E369" s="240">
        <f t="shared" si="175"/>
        <v>0.13960921595860046</v>
      </c>
      <c r="F369" s="241">
        <v>5904.02</v>
      </c>
      <c r="G369" s="168">
        <f t="shared" ref="G369:G382" si="184">(F369-F368)/F368</f>
        <v>1.3490849602518637E-2</v>
      </c>
      <c r="H369" s="242">
        <f t="shared" si="176"/>
        <v>0.1595380717638511</v>
      </c>
      <c r="I369" s="539">
        <v>325744.14</v>
      </c>
      <c r="J369" s="244">
        <v>300000</v>
      </c>
      <c r="K369" s="244">
        <f t="shared" si="177"/>
        <v>5171.070000000007</v>
      </c>
      <c r="L369" s="168">
        <f t="shared" si="155"/>
        <v>1.613070617566225E-2</v>
      </c>
      <c r="M369" s="572">
        <f t="shared" si="178"/>
        <v>25744.140000000014</v>
      </c>
      <c r="N369" s="246">
        <f t="shared" si="179"/>
        <v>8.5813800000000051E-2</v>
      </c>
      <c r="O369" s="179">
        <f t="shared" si="159"/>
        <v>5.5771335320284728E-2</v>
      </c>
      <c r="P369" s="245" t="b">
        <f t="shared" si="180"/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si="181"/>
        <v>34181.090000000026</v>
      </c>
      <c r="T369" s="244">
        <v>-28845</v>
      </c>
      <c r="U369" s="244">
        <f t="shared" si="182"/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4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183"/>
        <v>-5.8598641045760208E-3</v>
      </c>
      <c r="E370" s="240">
        <f t="shared" si="175"/>
        <v>0.13293126082076065</v>
      </c>
      <c r="F370" s="241">
        <v>5861.22</v>
      </c>
      <c r="G370" s="168">
        <f t="shared" si="184"/>
        <v>-7.2492979359826317E-3</v>
      </c>
      <c r="H370" s="242">
        <f t="shared" si="176"/>
        <v>0.15113223481352014</v>
      </c>
      <c r="I370" s="539">
        <v>374005.77</v>
      </c>
      <c r="J370" s="244">
        <v>350000</v>
      </c>
      <c r="K370" s="244">
        <f t="shared" si="177"/>
        <v>-1738.3699999999953</v>
      </c>
      <c r="L370" s="168">
        <f t="shared" si="155"/>
        <v>-5.3366117345963471E-3</v>
      </c>
      <c r="M370" s="572">
        <f t="shared" si="178"/>
        <v>24005.770000000019</v>
      </c>
      <c r="N370" s="246">
        <f t="shared" si="179"/>
        <v>6.8587914285714341E-2</v>
      </c>
      <c r="O370" s="179">
        <f t="shared" si="159"/>
        <v>4.4496866239533146E-2</v>
      </c>
      <c r="P370" s="245" t="b">
        <f t="shared" si="180"/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si="181"/>
        <v>69612.62</v>
      </c>
      <c r="T370" s="244">
        <v>-27836</v>
      </c>
      <c r="U370" s="244">
        <f t="shared" si="182"/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4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183"/>
        <v>5.0379525760723201E-4</v>
      </c>
      <c r="E371" s="240">
        <f t="shared" si="175"/>
        <v>0.13350202621715712</v>
      </c>
      <c r="F371" s="241">
        <v>5870.75</v>
      </c>
      <c r="G371" s="168">
        <f t="shared" si="184"/>
        <v>1.6259413569188232E-3</v>
      </c>
      <c r="H371" s="242">
        <f t="shared" si="176"/>
        <v>0.15300390832138583</v>
      </c>
      <c r="I371" s="539">
        <v>372756.96</v>
      </c>
      <c r="J371" s="244">
        <v>350000</v>
      </c>
      <c r="K371" s="244">
        <f t="shared" si="177"/>
        <v>-1248.8099999999977</v>
      </c>
      <c r="L371" s="168">
        <f t="shared" si="155"/>
        <v>-3.3390126574785132E-3</v>
      </c>
      <c r="M371" s="572">
        <f t="shared" si="178"/>
        <v>22756.960000000021</v>
      </c>
      <c r="N371" s="246">
        <f t="shared" si="179"/>
        <v>6.5019885714285769E-2</v>
      </c>
      <c r="O371" s="179">
        <f t="shared" si="159"/>
        <v>4.2107293009118578E-2</v>
      </c>
      <c r="P371" s="245" t="b">
        <f t="shared" si="180"/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si="181"/>
        <v>68814.010000000009</v>
      </c>
      <c r="T371" s="244">
        <v>-28592</v>
      </c>
      <c r="U371" s="244">
        <f t="shared" si="182"/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4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183"/>
        <v>-3.2772164221692344E-3</v>
      </c>
      <c r="E372" s="205">
        <f t="shared" si="175"/>
        <v>0.12978729476227616</v>
      </c>
      <c r="F372" s="215">
        <v>5849.17</v>
      </c>
      <c r="G372" s="168">
        <f t="shared" si="184"/>
        <v>-3.6758506153387431E-3</v>
      </c>
      <c r="H372" s="199">
        <f t="shared" si="176"/>
        <v>0.14876563819549468</v>
      </c>
      <c r="I372" s="217">
        <v>373390.96</v>
      </c>
      <c r="J372" s="170">
        <v>350000</v>
      </c>
      <c r="K372" s="170">
        <f t="shared" si="177"/>
        <v>634</v>
      </c>
      <c r="L372" s="168">
        <f t="shared" si="155"/>
        <v>1.7008401399131487E-3</v>
      </c>
      <c r="M372" s="178">
        <f t="shared" si="178"/>
        <v>23390.960000000021</v>
      </c>
      <c r="N372" s="180">
        <f t="shared" si="179"/>
        <v>6.6831314285714344E-2</v>
      </c>
      <c r="O372" s="179">
        <f t="shared" si="159"/>
        <v>4.3051388964474718E-2</v>
      </c>
      <c r="P372" s="178" t="b">
        <f t="shared" si="180"/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si="181"/>
        <v>68814.010000000009</v>
      </c>
      <c r="T372" s="170">
        <v>-29562</v>
      </c>
      <c r="U372" s="170">
        <f t="shared" si="182"/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4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183"/>
        <v>-2.9133039476952789E-3</v>
      </c>
      <c r="E373" s="205">
        <f t="shared" si="175"/>
        <v>0.12649588097638925</v>
      </c>
      <c r="F373" s="215">
        <v>5833.92</v>
      </c>
      <c r="G373" s="168">
        <f t="shared" si="184"/>
        <v>-2.6072075183316609E-3</v>
      </c>
      <c r="H373" s="199">
        <f t="shared" si="176"/>
        <v>0.14577056778679032</v>
      </c>
      <c r="I373" s="217">
        <v>368594.91</v>
      </c>
      <c r="J373" s="170">
        <v>350000</v>
      </c>
      <c r="K373" s="170">
        <f t="shared" si="177"/>
        <v>-4796.0500000000466</v>
      </c>
      <c r="L373" s="168">
        <f t="shared" si="155"/>
        <v>-1.2844579847353686E-2</v>
      </c>
      <c r="M373" s="178">
        <f t="shared" si="178"/>
        <v>18594.909999999974</v>
      </c>
      <c r="N373" s="180">
        <f t="shared" si="179"/>
        <v>5.3128314285714212E-2</v>
      </c>
      <c r="O373" s="179">
        <f t="shared" si="159"/>
        <v>3.416393801559351E-2</v>
      </c>
      <c r="P373" s="178" t="b">
        <f t="shared" si="180"/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si="181"/>
        <v>68814.009999999951</v>
      </c>
      <c r="T373" s="170">
        <v>-31802</v>
      </c>
      <c r="U373" s="170">
        <f t="shared" si="182"/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4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183"/>
        <v>4.2222775809727285E-4</v>
      </c>
      <c r="E374" s="205">
        <f t="shared" si="175"/>
        <v>0.12697151880671972</v>
      </c>
      <c r="F374" s="215">
        <v>5834.92</v>
      </c>
      <c r="G374" s="168">
        <f t="shared" si="184"/>
        <v>1.7141133234600405E-4</v>
      </c>
      <c r="H374" s="199">
        <f t="shared" si="176"/>
        <v>0.1459669658463775</v>
      </c>
      <c r="I374" s="217">
        <v>359694.56</v>
      </c>
      <c r="J374" s="170">
        <v>350000</v>
      </c>
      <c r="K374" s="170">
        <f t="shared" si="177"/>
        <v>-8900.3499999999767</v>
      </c>
      <c r="L374" s="168">
        <f t="shared" si="155"/>
        <v>-2.4146698064821288E-2</v>
      </c>
      <c r="M374" s="178">
        <f t="shared" si="178"/>
        <v>9694.5599999999977</v>
      </c>
      <c r="N374" s="180">
        <f t="shared" si="179"/>
        <v>2.7698742857142852E-2</v>
      </c>
      <c r="O374" s="179">
        <f t="shared" si="159"/>
        <v>1.7780256289229218E-2</v>
      </c>
      <c r="P374" s="178" t="b">
        <f t="shared" si="180"/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si="181"/>
        <v>58288.010000000009</v>
      </c>
      <c r="T374" s="170">
        <v>-32022</v>
      </c>
      <c r="U374" s="170">
        <f t="shared" si="182"/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4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183"/>
        <v>-1.9076639979066267E-3</v>
      </c>
      <c r="E375" s="205">
        <f t="shared" si="175"/>
        <v>0.12482163581362599</v>
      </c>
      <c r="F375" s="215">
        <v>5838.8</v>
      </c>
      <c r="G375" s="168">
        <f t="shared" si="184"/>
        <v>6.6496198748228067E-4</v>
      </c>
      <c r="H375" s="199">
        <f t="shared" si="176"/>
        <v>0.14672899031757575</v>
      </c>
      <c r="I375" s="217">
        <v>368952.54</v>
      </c>
      <c r="J375" s="170">
        <v>350000</v>
      </c>
      <c r="K375" s="170">
        <f t="shared" si="177"/>
        <v>9257.9799999999814</v>
      </c>
      <c r="L375" s="168">
        <f t="shared" si="155"/>
        <v>2.573844875496583E-2</v>
      </c>
      <c r="M375" s="178">
        <f t="shared" si="178"/>
        <v>18952.539999999979</v>
      </c>
      <c r="N375" s="180">
        <f t="shared" si="179"/>
        <v>5.4150114285714229E-2</v>
      </c>
      <c r="O375" s="179">
        <f t="shared" si="159"/>
        <v>3.4698823233082668E-2</v>
      </c>
      <c r="P375" s="178" t="b">
        <f t="shared" si="180"/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si="181"/>
        <v>89306.289999999979</v>
      </c>
      <c r="T375" s="170">
        <v>-32329</v>
      </c>
      <c r="U375" s="170">
        <f t="shared" si="182"/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4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183"/>
        <v>3.2686786165835834E-3</v>
      </c>
      <c r="E376" s="205">
        <f t="shared" si="175"/>
        <v>0.12849831624208055</v>
      </c>
      <c r="F376" s="215">
        <v>5861.72</v>
      </c>
      <c r="G376" s="168">
        <f t="shared" si="184"/>
        <v>3.9254641364664094E-3</v>
      </c>
      <c r="H376" s="199">
        <f t="shared" si="176"/>
        <v>0.15123043384331372</v>
      </c>
      <c r="I376" s="217">
        <v>320075.84000000003</v>
      </c>
      <c r="J376" s="170">
        <v>300000</v>
      </c>
      <c r="K376" s="170">
        <f t="shared" si="177"/>
        <v>1123.3000000000466</v>
      </c>
      <c r="L376" s="168">
        <f t="shared" si="155"/>
        <v>3.0445650272526831E-3</v>
      </c>
      <c r="M376" s="178">
        <f t="shared" si="178"/>
        <v>20075.840000000026</v>
      </c>
      <c r="N376" s="180">
        <f t="shared" si="179"/>
        <v>6.6919466666666746E-2</v>
      </c>
      <c r="O376" s="179">
        <f t="shared" si="159"/>
        <v>4.2806191243432629E-2</v>
      </c>
      <c r="P376" s="178" t="b">
        <f t="shared" si="180"/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si="181"/>
        <v>50796.540000000037</v>
      </c>
      <c r="T376" s="170">
        <v>-32569</v>
      </c>
      <c r="U376" s="170">
        <f t="shared" si="182"/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4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183"/>
        <v>3.6668633566546864E-4</v>
      </c>
      <c r="E377" s="240">
        <f t="shared" si="175"/>
        <v>0.12891212115446801</v>
      </c>
      <c r="F377" s="241">
        <v>5875.78</v>
      </c>
      <c r="G377" s="168">
        <f t="shared" si="184"/>
        <v>2.3986133762785478E-3</v>
      </c>
      <c r="H377" s="242">
        <f t="shared" si="176"/>
        <v>0.15399179056110926</v>
      </c>
      <c r="I377" s="539">
        <v>317453.64</v>
      </c>
      <c r="J377" s="244">
        <v>300000</v>
      </c>
      <c r="K377" s="244">
        <f t="shared" si="177"/>
        <v>-2622.2000000000116</v>
      </c>
      <c r="L377" s="168">
        <f t="shared" si="155"/>
        <v>-8.1924333932858265E-3</v>
      </c>
      <c r="M377" s="572">
        <f t="shared" si="178"/>
        <v>17453.640000000014</v>
      </c>
      <c r="N377" s="246">
        <f t="shared" si="179"/>
        <v>5.8178800000000044E-2</v>
      </c>
      <c r="O377" s="179">
        <f t="shared" si="159"/>
        <v>3.7020569163763097E-2</v>
      </c>
      <c r="P377" s="245" t="b">
        <f t="shared" si="180"/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si="181"/>
        <v>50796.540000000037</v>
      </c>
      <c r="T377" s="244">
        <v>-33037</v>
      </c>
      <c r="U377" s="244">
        <f t="shared" si="182"/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4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413" si="185">(C378-C377)/C377</f>
        <v>-3.3790189048102494E-3</v>
      </c>
      <c r="E378" s="240">
        <f t="shared" si="175"/>
        <v>0.12509750575521764</v>
      </c>
      <c r="F378" s="241">
        <v>5856.81</v>
      </c>
      <c r="G378" s="168">
        <f t="shared" si="184"/>
        <v>-3.2285075343187366E-3</v>
      </c>
      <c r="H378" s="242">
        <f t="shared" si="176"/>
        <v>0.15026611937074075</v>
      </c>
      <c r="I378" s="539">
        <v>413367.17</v>
      </c>
      <c r="J378" s="244">
        <v>400000</v>
      </c>
      <c r="K378" s="244">
        <f t="shared" si="177"/>
        <v>-4086.4700000000303</v>
      </c>
      <c r="L378" s="168">
        <f t="shared" si="155"/>
        <v>-1.2872651263346769E-2</v>
      </c>
      <c r="M378" s="572">
        <f t="shared" si="178"/>
        <v>13367.169999999984</v>
      </c>
      <c r="N378" s="246">
        <f t="shared" si="179"/>
        <v>3.3417924999999959E-2</v>
      </c>
      <c r="O378" s="179">
        <f t="shared" si="159"/>
        <v>2.1227647141304321E-2</v>
      </c>
      <c r="P378" s="245" t="b">
        <f t="shared" si="180"/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si="181"/>
        <v>136177.37</v>
      </c>
      <c r="T378" s="244">
        <v>-33401</v>
      </c>
      <c r="U378" s="244">
        <f t="shared" si="182"/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4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185"/>
        <v>8.3747278530513867E-3</v>
      </c>
      <c r="E379" s="240">
        <f t="shared" si="175"/>
        <v>0.13451989117406449</v>
      </c>
      <c r="F379" s="241">
        <v>5900.04</v>
      </c>
      <c r="G379" s="168">
        <f t="shared" si="184"/>
        <v>7.3811511727373026E-3</v>
      </c>
      <c r="H379" s="242">
        <f t="shared" si="176"/>
        <v>0.15875640748669406</v>
      </c>
      <c r="I379" s="539">
        <v>417096.77</v>
      </c>
      <c r="J379" s="244">
        <v>400000</v>
      </c>
      <c r="K379" s="244">
        <f t="shared" si="177"/>
        <v>3729.6000000000349</v>
      </c>
      <c r="L379" s="168">
        <f t="shared" si="155"/>
        <v>9.0224871994552328E-3</v>
      </c>
      <c r="M379" s="572">
        <f t="shared" si="178"/>
        <v>17096.770000000019</v>
      </c>
      <c r="N379" s="246">
        <f t="shared" ref="N379:N384" si="186">M379/J379</f>
        <v>4.2741925000000049E-2</v>
      </c>
      <c r="O379" s="179">
        <f t="shared" si="159"/>
        <v>2.7103277962239613E-2</v>
      </c>
      <c r="P379" s="245" t="b">
        <f t="shared" si="180"/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si="181"/>
        <v>144473.97000000003</v>
      </c>
      <c r="T379" s="244">
        <v>-33400</v>
      </c>
      <c r="U379" s="244">
        <f t="shared" si="182"/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4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185"/>
        <v>-1.6266570520614562E-3</v>
      </c>
      <c r="E380" s="240">
        <f t="shared" si="175"/>
        <v>0.1326744163923822</v>
      </c>
      <c r="F380" s="241">
        <v>5900.76</v>
      </c>
      <c r="G380" s="168">
        <f t="shared" si="184"/>
        <v>1.2203307096227393E-4</v>
      </c>
      <c r="H380" s="242">
        <f t="shared" si="176"/>
        <v>0.15889781408959688</v>
      </c>
      <c r="I380" s="539">
        <v>418538.3</v>
      </c>
      <c r="J380" s="244">
        <v>400000</v>
      </c>
      <c r="K380" s="244">
        <f t="shared" si="177"/>
        <v>1441.5299999999697</v>
      </c>
      <c r="L380" s="168">
        <f t="shared" si="155"/>
        <v>3.4561044431007455E-3</v>
      </c>
      <c r="M380" s="572">
        <f t="shared" si="178"/>
        <v>18538.299999999988</v>
      </c>
      <c r="N380" s="246">
        <f t="shared" si="186"/>
        <v>4.634574999999997E-2</v>
      </c>
      <c r="O380" s="179">
        <f t="shared" si="159"/>
        <v>2.9337582647313672E-2</v>
      </c>
      <c r="P380" s="245" t="b">
        <f t="shared" si="180"/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si="181"/>
        <v>142643.95000000001</v>
      </c>
      <c r="T380" s="244">
        <v>-31087</v>
      </c>
      <c r="U380" s="244">
        <f t="shared" si="182"/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4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185"/>
        <v>-1.3143639402363792E-3</v>
      </c>
      <c r="E381" s="240">
        <f t="shared" si="175"/>
        <v>0.13118566998344777</v>
      </c>
      <c r="F381" s="241">
        <v>5900.99</v>
      </c>
      <c r="G381" s="168">
        <f t="shared" si="184"/>
        <v>3.8978029948610593E-5</v>
      </c>
      <c r="H381" s="242">
        <f t="shared" si="176"/>
        <v>0.15894298564330184</v>
      </c>
      <c r="I381" s="539">
        <v>417260.19</v>
      </c>
      <c r="J381" s="244">
        <v>400000</v>
      </c>
      <c r="K381" s="244">
        <f t="shared" si="177"/>
        <v>-1278.109999999986</v>
      </c>
      <c r="L381" s="168">
        <f t="shared" si="155"/>
        <v>-3.0537468136129621E-3</v>
      </c>
      <c r="M381" s="572">
        <f t="shared" si="178"/>
        <v>17260.190000000002</v>
      </c>
      <c r="N381" s="246">
        <f t="shared" si="186"/>
        <v>4.3150475000000008E-2</v>
      </c>
      <c r="O381" s="179">
        <f t="shared" si="159"/>
        <v>2.7267666079152254E-2</v>
      </c>
      <c r="P381" s="245" t="b">
        <f t="shared" si="180"/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si="181"/>
        <v>144637.39000000001</v>
      </c>
      <c r="T381" s="244">
        <v>-31412</v>
      </c>
      <c r="U381" s="244">
        <f t="shared" si="182"/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4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185"/>
        <v>-2.0098812151793126E-3</v>
      </c>
      <c r="E382" s="205">
        <f t="shared" si="175"/>
        <v>0.12891212115446801</v>
      </c>
      <c r="F382" s="215">
        <v>5901.52</v>
      </c>
      <c r="G382" s="168">
        <f t="shared" si="184"/>
        <v>8.9815437748692146E-5</v>
      </c>
      <c r="H382" s="199">
        <f t="shared" si="176"/>
        <v>0.15904707661488318</v>
      </c>
      <c r="I382" s="217">
        <v>416415.39</v>
      </c>
      <c r="J382" s="170">
        <v>400000</v>
      </c>
      <c r="K382" s="170">
        <f t="shared" si="177"/>
        <v>-844.79999999998836</v>
      </c>
      <c r="L382" s="168">
        <f t="shared" si="155"/>
        <v>-2.0246359951089231E-3</v>
      </c>
      <c r="M382" s="178">
        <f t="shared" si="178"/>
        <v>16415.390000000014</v>
      </c>
      <c r="N382" s="180">
        <f t="shared" si="186"/>
        <v>4.1038475000000033E-2</v>
      </c>
      <c r="O382" s="179">
        <f t="shared" si="159"/>
        <v>2.579914456755596E-2</v>
      </c>
      <c r="P382" s="178" t="b">
        <f t="shared" si="180"/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si="181"/>
        <v>142507.39000000001</v>
      </c>
      <c r="T382" s="170">
        <v>-32614</v>
      </c>
      <c r="U382" s="170">
        <f t="shared" si="182"/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4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si="185"/>
        <v>-1.240799335993285E-2</v>
      </c>
      <c r="E383" s="205">
        <f t="shared" si="175"/>
        <v>0.11490458705123567</v>
      </c>
      <c r="F383" s="215">
        <v>5793.82</v>
      </c>
      <c r="G383" s="168">
        <f t="shared" ref="G383:G388" si="187">(F383-F382)/F382</f>
        <v>-1.8249535712833425E-2</v>
      </c>
      <c r="H383" s="199">
        <f t="shared" si="176"/>
        <v>0.13789500559734469</v>
      </c>
      <c r="I383" s="217">
        <v>411936.49</v>
      </c>
      <c r="J383" s="170">
        <v>400000</v>
      </c>
      <c r="K383" s="170">
        <f t="shared" si="177"/>
        <v>-4478.9000000000233</v>
      </c>
      <c r="L383" s="168">
        <f t="shared" si="155"/>
        <v>-1.0755846463791895E-2</v>
      </c>
      <c r="M383" s="178">
        <f t="shared" si="178"/>
        <v>11936.489999999991</v>
      </c>
      <c r="N383" s="180">
        <f t="shared" si="186"/>
        <v>2.9841224999999978E-2</v>
      </c>
      <c r="O383" s="179">
        <f t="shared" si="159"/>
        <v>1.8727675998711325E-2</v>
      </c>
      <c r="P383" s="178" t="b">
        <f t="shared" si="180"/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si="181"/>
        <v>130577.19</v>
      </c>
      <c r="T383" s="170">
        <v>-32572</v>
      </c>
      <c r="U383" s="170">
        <f t="shared" si="182"/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4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si="185"/>
        <v>1.8899156150544091E-3</v>
      </c>
      <c r="E384" s="205">
        <f t="shared" si="175"/>
        <v>0.11701166263959958</v>
      </c>
      <c r="F384" s="215">
        <v>5821.64</v>
      </c>
      <c r="G384" s="168">
        <f t="shared" si="187"/>
        <v>4.8016679841625422E-3</v>
      </c>
      <c r="H384" s="199">
        <f t="shared" si="176"/>
        <v>0.1433587996150599</v>
      </c>
      <c r="I384" s="217">
        <v>410749.09</v>
      </c>
      <c r="J384" s="170">
        <v>400000</v>
      </c>
      <c r="K384" s="170">
        <f t="shared" si="177"/>
        <v>-1187.3999999999651</v>
      </c>
      <c r="L384" s="168">
        <f t="shared" si="155"/>
        <v>-2.8824831711314653E-3</v>
      </c>
      <c r="M384" s="178">
        <f t="shared" si="178"/>
        <v>10749.090000000026</v>
      </c>
      <c r="N384" s="180">
        <f t="shared" si="186"/>
        <v>2.6872725000000063E-2</v>
      </c>
      <c r="O384" s="179">
        <f t="shared" si="159"/>
        <v>1.6835785259434001E-2</v>
      </c>
      <c r="P384" s="178" t="b">
        <f t="shared" si="180"/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si="181"/>
        <v>124657.19</v>
      </c>
      <c r="T384" s="170">
        <v>-33152</v>
      </c>
      <c r="U384" s="170">
        <f t="shared" si="182"/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4">
        <f t="shared" si="166"/>
        <v>-9.0138937639599515E-2</v>
      </c>
    </row>
    <row r="385" spans="1:26" ht="20.100000000000001" customHeight="1" x14ac:dyDescent="0.25">
      <c r="A385" s="160">
        <f t="shared" ref="A385:A448" si="188">B385-$B$2</f>
        <v>584</v>
      </c>
      <c r="B385" s="169">
        <v>42817</v>
      </c>
      <c r="C385" s="211">
        <v>2345.96</v>
      </c>
      <c r="D385" s="168">
        <f t="shared" si="185"/>
        <v>-1.0602737976110974E-3</v>
      </c>
      <c r="E385" s="205">
        <f t="shared" si="175"/>
        <v>0.11582732444207681</v>
      </c>
      <c r="F385" s="215">
        <v>5817.69</v>
      </c>
      <c r="G385" s="168">
        <f t="shared" si="187"/>
        <v>-6.7850296480042173E-4</v>
      </c>
      <c r="H385" s="199">
        <f t="shared" si="176"/>
        <v>0.14258302727969044</v>
      </c>
      <c r="I385" s="217">
        <v>409192.08</v>
      </c>
      <c r="J385" s="170">
        <v>400000</v>
      </c>
      <c r="K385" s="170">
        <f t="shared" si="177"/>
        <v>-1557.0100000000093</v>
      </c>
      <c r="L385" s="168">
        <f t="shared" si="155"/>
        <v>-3.7906596457706315E-3</v>
      </c>
      <c r="M385" s="178">
        <f t="shared" si="178"/>
        <v>9192.0800000000163</v>
      </c>
      <c r="N385" s="180">
        <f t="shared" ref="N385:N448" si="189">M385/J385</f>
        <v>2.2980200000000041E-2</v>
      </c>
      <c r="O385" s="179">
        <f t="shared" si="159"/>
        <v>1.4372462414383587E-2</v>
      </c>
      <c r="P385" s="178" t="b">
        <f t="shared" si="180"/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si="181"/>
        <v>127555.13</v>
      </c>
      <c r="T385" s="170">
        <v>-33283</v>
      </c>
      <c r="U385" s="170">
        <f t="shared" si="182"/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4">
        <f t="shared" si="166"/>
        <v>-9.2847124442076767E-2</v>
      </c>
    </row>
    <row r="386" spans="1:26" ht="20.100000000000001" customHeight="1" x14ac:dyDescent="0.25">
      <c r="A386" s="160">
        <f t="shared" si="188"/>
        <v>585</v>
      </c>
      <c r="B386" s="169">
        <v>42818</v>
      </c>
      <c r="C386" s="211">
        <v>2343.98</v>
      </c>
      <c r="D386" s="168">
        <f t="shared" si="185"/>
        <v>-8.4400416034374759E-4</v>
      </c>
      <c r="E386" s="205">
        <f t="shared" si="175"/>
        <v>0.11488556153802247</v>
      </c>
      <c r="F386" s="215">
        <v>5828.73</v>
      </c>
      <c r="G386" s="168">
        <f t="shared" si="187"/>
        <v>1.8976604116066624E-3</v>
      </c>
      <c r="H386" s="199">
        <f t="shared" si="176"/>
        <v>0.14475126185753281</v>
      </c>
      <c r="I386" s="217">
        <v>410959.03</v>
      </c>
      <c r="J386" s="170">
        <v>400000</v>
      </c>
      <c r="K386" s="170">
        <f t="shared" si="177"/>
        <v>1766.9500000000116</v>
      </c>
      <c r="L386" s="168">
        <f t="shared" si="155"/>
        <v>4.3181432055087957E-3</v>
      </c>
      <c r="M386" s="178">
        <f t="shared" si="178"/>
        <v>10959.030000000028</v>
      </c>
      <c r="N386" s="180">
        <f t="shared" si="189"/>
        <v>2.739757500000007E-2</v>
      </c>
      <c r="O386" s="179">
        <f t="shared" si="159"/>
        <v>1.710592182692312E-2</v>
      </c>
      <c r="P386" s="178" t="b">
        <f t="shared" si="180"/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si="181"/>
        <v>124707.13</v>
      </c>
      <c r="T386" s="170">
        <v>-32644</v>
      </c>
      <c r="U386" s="170">
        <f t="shared" si="182"/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4">
        <f t="shared" si="166"/>
        <v>-8.7487986538022394E-2</v>
      </c>
    </row>
    <row r="387" spans="1:26" ht="20.100000000000001" customHeight="1" x14ac:dyDescent="0.25">
      <c r="A387" s="160">
        <f t="shared" si="188"/>
        <v>588</v>
      </c>
      <c r="B387" s="238">
        <v>42821</v>
      </c>
      <c r="C387" s="327">
        <v>2341.59</v>
      </c>
      <c r="D387" s="168">
        <f t="shared" si="185"/>
        <v>-1.0196332733213903E-3</v>
      </c>
      <c r="E387" s="240">
        <f t="shared" si="175"/>
        <v>0.1137487871235327</v>
      </c>
      <c r="F387" s="241">
        <v>5840.37</v>
      </c>
      <c r="G387" s="168">
        <f t="shared" si="187"/>
        <v>1.9970044932601664E-3</v>
      </c>
      <c r="H387" s="242">
        <f t="shared" si="176"/>
        <v>0.14703733527112753</v>
      </c>
      <c r="I387" s="539">
        <v>411631.08</v>
      </c>
      <c r="J387" s="244">
        <v>400000</v>
      </c>
      <c r="K387" s="244">
        <f t="shared" si="177"/>
        <v>672.04999999998836</v>
      </c>
      <c r="L387" s="168">
        <f>K387/I386</f>
        <v>1.6353211657132544E-3</v>
      </c>
      <c r="M387" s="572">
        <f t="shared" si="178"/>
        <v>11631.080000000016</v>
      </c>
      <c r="N387" s="246">
        <f t="shared" si="189"/>
        <v>2.907770000000004E-2</v>
      </c>
      <c r="O387" s="179">
        <f t="shared" si="159"/>
        <v>1.8062295790816349E-2</v>
      </c>
      <c r="P387" s="245" t="b">
        <f t="shared" si="180"/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si="181"/>
        <v>124707.13</v>
      </c>
      <c r="T387" s="244">
        <v>-32983</v>
      </c>
      <c r="U387" s="244">
        <f t="shared" si="182"/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4">
        <f t="shared" si="166"/>
        <v>-8.4671087123532662E-2</v>
      </c>
    </row>
    <row r="388" spans="1:26" ht="20.100000000000001" customHeight="1" x14ac:dyDescent="0.25">
      <c r="A388" s="160">
        <f t="shared" si="188"/>
        <v>589</v>
      </c>
      <c r="B388" s="238">
        <v>42822</v>
      </c>
      <c r="C388" s="327">
        <v>2358.5700000000002</v>
      </c>
      <c r="D388" s="168">
        <f t="shared" si="185"/>
        <v>7.2514829667021203E-3</v>
      </c>
      <c r="E388" s="240">
        <f t="shared" si="175"/>
        <v>0.12182511748254414</v>
      </c>
      <c r="F388" s="241">
        <v>5875.14</v>
      </c>
      <c r="G388" s="168">
        <f t="shared" si="187"/>
        <v>5.9533899393361097E-3</v>
      </c>
      <c r="H388" s="242">
        <f t="shared" si="176"/>
        <v>0.15386609580297358</v>
      </c>
      <c r="I388" s="539">
        <v>415160.28</v>
      </c>
      <c r="J388" s="244">
        <v>400000</v>
      </c>
      <c r="K388" s="244">
        <f t="shared" si="177"/>
        <v>3529.2000000000116</v>
      </c>
      <c r="L388" s="168">
        <f t="shared" ref="L388:L401" si="190">K388/I387</f>
        <v>8.5736966217420021E-3</v>
      </c>
      <c r="M388" s="572">
        <f t="shared" si="178"/>
        <v>15160.280000000028</v>
      </c>
      <c r="N388" s="246">
        <f t="shared" si="189"/>
        <v>3.7900700000000072E-2</v>
      </c>
      <c r="O388" s="179">
        <f t="shared" si="159"/>
        <v>2.3502938327674066E-2</v>
      </c>
      <c r="P388" s="245" t="b">
        <f t="shared" si="180"/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si="181"/>
        <v>124707.13</v>
      </c>
      <c r="T388" s="244">
        <v>-33166</v>
      </c>
      <c r="U388" s="244">
        <f t="shared" si="182"/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4">
        <f t="shared" si="166"/>
        <v>-8.3924417482544061E-2</v>
      </c>
    </row>
    <row r="389" spans="1:26" ht="20.100000000000001" customHeight="1" x14ac:dyDescent="0.25">
      <c r="A389" s="160">
        <f t="shared" si="188"/>
        <v>590</v>
      </c>
      <c r="B389" s="238">
        <v>42823</v>
      </c>
      <c r="C389" s="327">
        <v>2361.13</v>
      </c>
      <c r="D389" s="168">
        <f t="shared" si="185"/>
        <v>1.0854034436119959E-3</v>
      </c>
      <c r="E389" s="240">
        <f t="shared" si="175"/>
        <v>0.12304275032819012</v>
      </c>
      <c r="F389" s="241">
        <v>5897.54</v>
      </c>
      <c r="G389" s="168">
        <f t="shared" ref="G389:G401" si="191">(F389-F388)/F388</f>
        <v>3.8126751022102682E-3</v>
      </c>
      <c r="H389" s="242">
        <f t="shared" si="176"/>
        <v>0.15826541233772615</v>
      </c>
      <c r="I389" s="539">
        <v>420963.65</v>
      </c>
      <c r="J389" s="244">
        <v>400000</v>
      </c>
      <c r="K389" s="244">
        <f t="shared" si="177"/>
        <v>5803.3699999999953</v>
      </c>
      <c r="L389" s="168">
        <f t="shared" si="190"/>
        <v>1.3978625315504641E-2</v>
      </c>
      <c r="M389" s="572">
        <f t="shared" si="178"/>
        <v>20963.650000000023</v>
      </c>
      <c r="N389" s="246">
        <f t="shared" si="189"/>
        <v>5.2409125000000056E-2</v>
      </c>
      <c r="O389" s="179">
        <f t="shared" si="159"/>
        <v>3.2444801536016983E-2</v>
      </c>
      <c r="P389" s="245" t="b">
        <f t="shared" si="180"/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si="181"/>
        <v>133086.95000000001</v>
      </c>
      <c r="T389" s="244">
        <v>-32529</v>
      </c>
      <c r="U389" s="244">
        <f t="shared" si="182"/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4">
        <f t="shared" si="166"/>
        <v>-7.0633625328190064E-2</v>
      </c>
    </row>
    <row r="390" spans="1:26" ht="20.100000000000001" customHeight="1" x14ac:dyDescent="0.25">
      <c r="A390" s="160">
        <f t="shared" si="188"/>
        <v>591</v>
      </c>
      <c r="B390" s="238">
        <v>42824</v>
      </c>
      <c r="C390" s="327">
        <v>2368.06</v>
      </c>
      <c r="D390" s="168">
        <f t="shared" si="185"/>
        <v>2.9350353432465964E-3</v>
      </c>
      <c r="E390" s="240">
        <f t="shared" si="175"/>
        <v>0.12633892049238021</v>
      </c>
      <c r="F390" s="241">
        <v>5914.34</v>
      </c>
      <c r="G390" s="168">
        <f t="shared" si="191"/>
        <v>2.848645367390502E-3</v>
      </c>
      <c r="H390" s="242">
        <f t="shared" si="176"/>
        <v>0.16156489973879065</v>
      </c>
      <c r="I390" s="539">
        <v>421561.9</v>
      </c>
      <c r="J390" s="244">
        <v>400000</v>
      </c>
      <c r="K390" s="244">
        <f t="shared" si="177"/>
        <v>598.25</v>
      </c>
      <c r="L390" s="168">
        <f t="shared" si="190"/>
        <v>1.4211440821553119E-3</v>
      </c>
      <c r="M390" s="572">
        <f t="shared" si="178"/>
        <v>21561.900000000023</v>
      </c>
      <c r="N390" s="246">
        <f t="shared" si="189"/>
        <v>5.3904750000000057E-2</v>
      </c>
      <c r="O390" s="179">
        <f t="shared" si="159"/>
        <v>3.3314230012690391E-2</v>
      </c>
      <c r="P390" s="245" t="b">
        <f t="shared" si="180"/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si="181"/>
        <v>133086.95000000001</v>
      </c>
      <c r="T390" s="244">
        <v>-32386</v>
      </c>
      <c r="U390" s="244">
        <f t="shared" si="182"/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4">
        <f t="shared" si="166"/>
        <v>-7.2434170492380157E-2</v>
      </c>
    </row>
    <row r="391" spans="1:26" ht="20.100000000000001" customHeight="1" x14ac:dyDescent="0.25">
      <c r="A391" s="160">
        <f t="shared" si="188"/>
        <v>592</v>
      </c>
      <c r="B391" s="238">
        <v>42825</v>
      </c>
      <c r="C391" s="327">
        <v>2362.7199999999998</v>
      </c>
      <c r="D391" s="168">
        <f t="shared" si="185"/>
        <v>-2.2550104304790188E-3</v>
      </c>
      <c r="E391" s="240">
        <f t="shared" si="175"/>
        <v>0.12379901447841543</v>
      </c>
      <c r="F391" s="241">
        <v>5911.73</v>
      </c>
      <c r="G391" s="168">
        <f t="shared" si="191"/>
        <v>-4.4130029724374692E-4</v>
      </c>
      <c r="H391" s="242">
        <f t="shared" si="176"/>
        <v>0.16105230080326802</v>
      </c>
      <c r="I391" s="569">
        <v>422230.44</v>
      </c>
      <c r="J391" s="244">
        <v>400000</v>
      </c>
      <c r="K391" s="244">
        <f t="shared" si="177"/>
        <v>668.53999999997905</v>
      </c>
      <c r="L391" s="168">
        <f t="shared" si="190"/>
        <v>1.5858643772124071E-3</v>
      </c>
      <c r="M391" s="461">
        <f t="shared" si="178"/>
        <v>22230.440000000002</v>
      </c>
      <c r="N391" s="246">
        <f t="shared" si="189"/>
        <v>5.5576100000000003E-2</v>
      </c>
      <c r="O391" s="179">
        <f t="shared" ref="O391:O454" si="192">N391/(A391/365.25)</f>
        <v>3.4289139400337842E-2</v>
      </c>
      <c r="P391" s="245" t="b">
        <f t="shared" si="180"/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si="181"/>
        <v>136751.74</v>
      </c>
      <c r="T391" s="244">
        <v>-31395</v>
      </c>
      <c r="U391" s="244">
        <f t="shared" si="182"/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4">
        <f t="shared" si="166"/>
        <v>-6.8222914478415428E-2</v>
      </c>
    </row>
    <row r="392" spans="1:26" ht="20.100000000000001" customHeight="1" x14ac:dyDescent="0.25">
      <c r="A392" s="160">
        <f t="shared" si="188"/>
        <v>595</v>
      </c>
      <c r="B392" s="169">
        <v>42828</v>
      </c>
      <c r="C392" s="211">
        <v>2358.84</v>
      </c>
      <c r="D392" s="168">
        <f t="shared" si="185"/>
        <v>-1.6421751202003007E-3</v>
      </c>
      <c r="E392" s="205">
        <f t="shared" si="175"/>
        <v>0.12195353969673337</v>
      </c>
      <c r="F392" s="215">
        <v>5894.68</v>
      </c>
      <c r="G392" s="168">
        <f t="shared" si="191"/>
        <v>-2.8840965335019146E-3</v>
      </c>
      <c r="H392" s="199">
        <f t="shared" si="176"/>
        <v>0.15770371388730689</v>
      </c>
      <c r="I392" s="217">
        <v>420788.86</v>
      </c>
      <c r="J392" s="170">
        <v>400000</v>
      </c>
      <c r="K392" s="170">
        <f t="shared" si="177"/>
        <v>-1441.5800000000163</v>
      </c>
      <c r="L392" s="168">
        <f t="shared" si="190"/>
        <v>-3.4142019699006454E-3</v>
      </c>
      <c r="M392" s="178">
        <f t="shared" si="178"/>
        <v>20788.859999999986</v>
      </c>
      <c r="N392" s="180">
        <f t="shared" si="189"/>
        <v>5.1972149999999967E-2</v>
      </c>
      <c r="O392" s="179">
        <f t="shared" si="192"/>
        <v>3.1903912247899138E-2</v>
      </c>
      <c r="P392" s="178" t="b">
        <f t="shared" si="180"/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si="181"/>
        <v>142052.51</v>
      </c>
      <c r="T392" s="170">
        <v>-32014</v>
      </c>
      <c r="U392" s="170">
        <f t="shared" si="182"/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4">
        <f t="shared" si="166"/>
        <v>-6.9981389696733398E-2</v>
      </c>
    </row>
    <row r="393" spans="1:26" ht="20.100000000000001" customHeight="1" x14ac:dyDescent="0.25">
      <c r="A393" s="160">
        <f t="shared" si="188"/>
        <v>596</v>
      </c>
      <c r="B393" s="169">
        <v>42829</v>
      </c>
      <c r="C393" s="211">
        <v>2360.16</v>
      </c>
      <c r="D393" s="168">
        <f t="shared" si="185"/>
        <v>5.5959709009500806E-4</v>
      </c>
      <c r="E393" s="205">
        <f t="shared" si="175"/>
        <v>0.12258138163276945</v>
      </c>
      <c r="F393" s="215">
        <v>5898.6</v>
      </c>
      <c r="G393" s="168">
        <f t="shared" si="191"/>
        <v>6.6500641256184774E-4</v>
      </c>
      <c r="H393" s="199">
        <f t="shared" si="176"/>
        <v>0.15847359428088861</v>
      </c>
      <c r="I393" s="217">
        <v>422816.59</v>
      </c>
      <c r="J393" s="170">
        <v>400000</v>
      </c>
      <c r="K393" s="170">
        <f t="shared" si="177"/>
        <v>2027.7300000000396</v>
      </c>
      <c r="L393" s="168">
        <f t="shared" si="190"/>
        <v>4.8188775719966532E-3</v>
      </c>
      <c r="M393" s="178">
        <f t="shared" si="178"/>
        <v>22816.590000000026</v>
      </c>
      <c r="N393" s="180">
        <f t="shared" si="189"/>
        <v>5.7041475000000064E-2</v>
      </c>
      <c r="O393" s="179">
        <f t="shared" si="192"/>
        <v>3.4957044872063796E-2</v>
      </c>
      <c r="P393" s="178" t="b">
        <f t="shared" si="180"/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si="181"/>
        <v>143004.49000000005</v>
      </c>
      <c r="T393" s="170">
        <v>-31748</v>
      </c>
      <c r="U393" s="170">
        <f t="shared" si="182"/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4">
        <f t="shared" si="166"/>
        <v>-6.5539906632769387E-2</v>
      </c>
    </row>
    <row r="394" spans="1:26" ht="20.100000000000001" customHeight="1" x14ac:dyDescent="0.25">
      <c r="A394" s="160">
        <f t="shared" si="188"/>
        <v>597</v>
      </c>
      <c r="B394" s="169">
        <v>42830</v>
      </c>
      <c r="C394" s="211">
        <v>2352.9499999999998</v>
      </c>
      <c r="D394" s="168">
        <f t="shared" si="185"/>
        <v>-3.054877635414564E-3</v>
      </c>
      <c r="E394" s="205">
        <f t="shared" si="175"/>
        <v>0.11915203287608672</v>
      </c>
      <c r="F394" s="215">
        <v>5864.47</v>
      </c>
      <c r="G394" s="168">
        <f t="shared" si="191"/>
        <v>-5.7861187400400273E-3</v>
      </c>
      <c r="H394" s="199">
        <f t="shared" ref="H394:H425" si="193">(F394-F$2)/F$2</f>
        <v>0.15177052850717845</v>
      </c>
      <c r="I394" s="217">
        <v>421093.29</v>
      </c>
      <c r="J394" s="170">
        <v>400000</v>
      </c>
      <c r="K394" s="170">
        <f t="shared" ref="K394:K425" si="194">I394-I393-J394+J393</f>
        <v>-1723.3000000000466</v>
      </c>
      <c r="L394" s="168">
        <f t="shared" si="190"/>
        <v>-4.0757624955067313E-3</v>
      </c>
      <c r="M394" s="178">
        <f t="shared" si="178"/>
        <v>21093.289999999979</v>
      </c>
      <c r="N394" s="180">
        <f t="shared" si="189"/>
        <v>5.2733224999999946E-2</v>
      </c>
      <c r="O394" s="179">
        <f t="shared" si="192"/>
        <v>3.2262664038944691E-2</v>
      </c>
      <c r="P394" s="178" t="b">
        <f t="shared" si="180"/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:S425" si="195">I394-R394</f>
        <v>145116.33999999997</v>
      </c>
      <c r="T394" s="170">
        <v>-31864</v>
      </c>
      <c r="U394" s="170">
        <f t="shared" ref="U394:U425" si="196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4">
        <f t="shared" si="166"/>
        <v>-6.6418807876086783E-2</v>
      </c>
    </row>
    <row r="395" spans="1:26" ht="20.100000000000001" customHeight="1" x14ac:dyDescent="0.25">
      <c r="A395" s="160">
        <f t="shared" si="188"/>
        <v>598</v>
      </c>
      <c r="B395" s="169">
        <v>42831</v>
      </c>
      <c r="C395" s="211">
        <v>2357.4899999999998</v>
      </c>
      <c r="D395" s="168">
        <f t="shared" si="185"/>
        <v>1.9294927644021181E-3</v>
      </c>
      <c r="E395" s="205">
        <f t="shared" si="175"/>
        <v>0.12131142862578705</v>
      </c>
      <c r="F395" s="215">
        <v>5878.95</v>
      </c>
      <c r="G395" s="168">
        <f t="shared" si="191"/>
        <v>2.4691063301542277E-3</v>
      </c>
      <c r="H395" s="199">
        <f t="shared" si="193"/>
        <v>0.15461437241000059</v>
      </c>
      <c r="I395" s="217">
        <v>424138.1</v>
      </c>
      <c r="J395" s="170">
        <v>400000</v>
      </c>
      <c r="K395" s="170">
        <f t="shared" si="194"/>
        <v>3044.8099999999977</v>
      </c>
      <c r="L395" s="168">
        <f t="shared" si="190"/>
        <v>7.2307255240281736E-3</v>
      </c>
      <c r="M395" s="178">
        <f t="shared" si="178"/>
        <v>24138.099999999977</v>
      </c>
      <c r="N395" s="180">
        <f t="shared" si="189"/>
        <v>6.0345249999999941E-2</v>
      </c>
      <c r="O395" s="179">
        <f t="shared" si="192"/>
        <v>3.6858031040969866E-2</v>
      </c>
      <c r="P395" s="178" t="b">
        <f t="shared" si="180"/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si="195"/>
        <v>145718.79999999999</v>
      </c>
      <c r="T395" s="170">
        <v>-32100</v>
      </c>
      <c r="U395" s="170">
        <f t="shared" si="196"/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4">
        <f t="shared" si="166"/>
        <v>-6.0966178625787106E-2</v>
      </c>
    </row>
    <row r="396" spans="1:26" ht="20.100000000000001" customHeight="1" x14ac:dyDescent="0.25">
      <c r="A396" s="160">
        <f t="shared" si="188"/>
        <v>599</v>
      </c>
      <c r="B396" s="169">
        <v>42832</v>
      </c>
      <c r="C396" s="211">
        <v>2355.54</v>
      </c>
      <c r="D396" s="168">
        <f t="shared" si="185"/>
        <v>-8.2715091050219439E-4</v>
      </c>
      <c r="E396" s="205">
        <f t="shared" si="175"/>
        <v>0.12038393485664271</v>
      </c>
      <c r="F396" s="215">
        <v>5877.81</v>
      </c>
      <c r="G396" s="168">
        <f t="shared" si="191"/>
        <v>-1.9391217819498687E-4</v>
      </c>
      <c r="H396" s="199">
        <f t="shared" si="193"/>
        <v>0.15439047862207134</v>
      </c>
      <c r="I396" s="217">
        <v>423331.5</v>
      </c>
      <c r="J396" s="170">
        <v>400000</v>
      </c>
      <c r="K396" s="170">
        <f t="shared" si="194"/>
        <v>-806.59999999997672</v>
      </c>
      <c r="L396" s="168">
        <f t="shared" si="190"/>
        <v>-1.901739079794946E-3</v>
      </c>
      <c r="M396" s="178">
        <f t="shared" si="178"/>
        <v>23331.5</v>
      </c>
      <c r="N396" s="180">
        <f t="shared" si="189"/>
        <v>5.8328749999999999E-2</v>
      </c>
      <c r="O396" s="179">
        <f t="shared" si="192"/>
        <v>3.5566904737061769E-2</v>
      </c>
      <c r="P396" s="178" t="b">
        <f t="shared" si="180"/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si="195"/>
        <v>142532.79999999999</v>
      </c>
      <c r="T396" s="170">
        <v>-32984</v>
      </c>
      <c r="U396" s="170">
        <f t="shared" si="196"/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4">
        <f t="shared" si="166"/>
        <v>-6.2055184856642714E-2</v>
      </c>
    </row>
    <row r="397" spans="1:26" ht="20.100000000000001" customHeight="1" x14ac:dyDescent="0.25">
      <c r="A397" s="160">
        <f t="shared" si="188"/>
        <v>602</v>
      </c>
      <c r="B397" s="238">
        <v>42835</v>
      </c>
      <c r="C397" s="327">
        <v>2357.16</v>
      </c>
      <c r="D397" s="168">
        <f t="shared" si="185"/>
        <v>6.8774039073838311E-4</v>
      </c>
      <c r="E397" s="240">
        <f t="shared" si="175"/>
        <v>0.12115446814177802</v>
      </c>
      <c r="F397" s="241">
        <v>5880.92</v>
      </c>
      <c r="G397" s="168">
        <f t="shared" si="191"/>
        <v>5.2910863059535309E-4</v>
      </c>
      <c r="H397" s="242">
        <f t="shared" si="193"/>
        <v>0.15500127658738738</v>
      </c>
      <c r="I397" s="539">
        <v>425409.3</v>
      </c>
      <c r="J397" s="244">
        <v>400000</v>
      </c>
      <c r="K397" s="244">
        <f t="shared" si="194"/>
        <v>2077.7999999999884</v>
      </c>
      <c r="L397" s="168">
        <f t="shared" si="190"/>
        <v>4.9082102324064904E-3</v>
      </c>
      <c r="M397" s="572">
        <f t="shared" si="178"/>
        <v>25409.299999999988</v>
      </c>
      <c r="N397" s="246">
        <f t="shared" si="189"/>
        <v>6.3523249999999976E-2</v>
      </c>
      <c r="O397" s="179">
        <f t="shared" si="192"/>
        <v>3.854130741279068E-2</v>
      </c>
      <c r="P397" s="245" t="b">
        <f t="shared" si="180"/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si="195"/>
        <v>139724.79999999999</v>
      </c>
      <c r="T397" s="244">
        <v>-32983</v>
      </c>
      <c r="U397" s="244">
        <f t="shared" si="196"/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4">
        <f t="shared" si="166"/>
        <v>-5.7631218141778046E-2</v>
      </c>
    </row>
    <row r="398" spans="1:26" ht="20.100000000000001" customHeight="1" x14ac:dyDescent="0.25">
      <c r="A398" s="160">
        <f t="shared" si="188"/>
        <v>603</v>
      </c>
      <c r="B398" s="238">
        <v>42836</v>
      </c>
      <c r="C398" s="327">
        <v>2353.7800000000002</v>
      </c>
      <c r="D398" s="168">
        <f t="shared" si="185"/>
        <v>-1.4339289653649539E-3</v>
      </c>
      <c r="E398" s="240">
        <f t="shared" si="175"/>
        <v>0.11954681227526119</v>
      </c>
      <c r="F398" s="241">
        <v>5866.77</v>
      </c>
      <c r="G398" s="168">
        <f t="shared" si="191"/>
        <v>-2.4060861225793984E-3</v>
      </c>
      <c r="H398" s="242">
        <f t="shared" si="193"/>
        <v>0.15222224404422896</v>
      </c>
      <c r="I398" s="539">
        <v>423985</v>
      </c>
      <c r="J398" s="244">
        <v>400000</v>
      </c>
      <c r="K398" s="244">
        <f t="shared" si="194"/>
        <v>-1424.2999999999884</v>
      </c>
      <c r="L398" s="168">
        <f t="shared" si="190"/>
        <v>-3.3480697295521947E-3</v>
      </c>
      <c r="M398" s="572">
        <f t="shared" si="178"/>
        <v>23985</v>
      </c>
      <c r="N398" s="246">
        <f t="shared" si="189"/>
        <v>5.9962500000000002E-2</v>
      </c>
      <c r="O398" s="179">
        <f t="shared" si="192"/>
        <v>3.6320569029850744E-2</v>
      </c>
      <c r="P398" s="245" t="b">
        <f t="shared" si="180"/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si="195"/>
        <v>132039.79999999999</v>
      </c>
      <c r="T398" s="244">
        <v>-32982</v>
      </c>
      <c r="U398" s="244">
        <f t="shared" si="196"/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4">
        <f t="shared" si="166"/>
        <v>-5.9584312275261189E-2</v>
      </c>
    </row>
    <row r="399" spans="1:26" ht="20.100000000000001" customHeight="1" x14ac:dyDescent="0.25">
      <c r="A399" s="160">
        <f t="shared" si="188"/>
        <v>604</v>
      </c>
      <c r="B399" s="238">
        <v>42837</v>
      </c>
      <c r="C399" s="327">
        <v>2344.9299999999998</v>
      </c>
      <c r="D399" s="168">
        <f t="shared" si="185"/>
        <v>-3.7599095922305243E-3</v>
      </c>
      <c r="E399" s="240">
        <f t="shared" si="175"/>
        <v>0.11533741747683633</v>
      </c>
      <c r="F399" s="241">
        <v>5836.16</v>
      </c>
      <c r="G399" s="168">
        <f t="shared" si="191"/>
        <v>-5.2175217368331432E-3</v>
      </c>
      <c r="H399" s="242">
        <f t="shared" si="193"/>
        <v>0.14621049944026554</v>
      </c>
      <c r="I399" s="539">
        <v>422212.73</v>
      </c>
      <c r="J399" s="244">
        <v>400000</v>
      </c>
      <c r="K399" s="244">
        <f t="shared" si="194"/>
        <v>-1772.2700000000186</v>
      </c>
      <c r="L399" s="168">
        <f t="shared" si="190"/>
        <v>-4.1800299538899219E-3</v>
      </c>
      <c r="M399" s="572">
        <f t="shared" si="178"/>
        <v>22212.729999999981</v>
      </c>
      <c r="N399" s="246">
        <f t="shared" si="189"/>
        <v>5.5531824999999951E-2</v>
      </c>
      <c r="O399" s="179">
        <f t="shared" si="192"/>
        <v>3.3581124306705269E-2</v>
      </c>
      <c r="P399" s="245" t="b">
        <f t="shared" si="180"/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si="195"/>
        <v>130266.52999999997</v>
      </c>
      <c r="T399" s="244">
        <v>-32526</v>
      </c>
      <c r="U399" s="244">
        <f t="shared" si="196"/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4">
        <f t="shared" si="166"/>
        <v>-5.9805592476836381E-2</v>
      </c>
    </row>
    <row r="400" spans="1:26" ht="20.100000000000001" customHeight="1" x14ac:dyDescent="0.25">
      <c r="A400" s="160">
        <f t="shared" si="188"/>
        <v>605</v>
      </c>
      <c r="B400" s="238">
        <v>42838</v>
      </c>
      <c r="C400" s="327">
        <v>2328.9499999999998</v>
      </c>
      <c r="D400" s="168">
        <f t="shared" si="185"/>
        <v>-6.8147023578529076E-3</v>
      </c>
      <c r="E400" s="240">
        <f t="shared" si="175"/>
        <v>0.10773672494815537</v>
      </c>
      <c r="F400" s="241">
        <v>5805.15</v>
      </c>
      <c r="G400" s="168">
        <f t="shared" si="191"/>
        <v>-5.3134252659283194E-3</v>
      </c>
      <c r="H400" s="242">
        <f t="shared" si="193"/>
        <v>0.14012019561246733</v>
      </c>
      <c r="I400" s="539">
        <v>418306.53</v>
      </c>
      <c r="J400" s="244">
        <v>400000</v>
      </c>
      <c r="K400" s="244">
        <f t="shared" si="194"/>
        <v>-3906.1999999999534</v>
      </c>
      <c r="L400" s="168">
        <f t="shared" si="190"/>
        <v>-9.2517343093846405E-3</v>
      </c>
      <c r="M400" s="572">
        <f t="shared" si="178"/>
        <v>18306.530000000028</v>
      </c>
      <c r="N400" s="246">
        <f t="shared" si="189"/>
        <v>4.5766325000000073E-2</v>
      </c>
      <c r="O400" s="179">
        <f t="shared" si="192"/>
        <v>2.7630000340909136E-2</v>
      </c>
      <c r="P400" s="245" t="b">
        <f t="shared" si="180"/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si="195"/>
        <v>132065.73000000004</v>
      </c>
      <c r="T400" s="244">
        <v>-33099</v>
      </c>
      <c r="U400" s="244">
        <f t="shared" si="196"/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4">
        <f t="shared" si="166"/>
        <v>-6.1970399948155293E-2</v>
      </c>
    </row>
    <row r="401" spans="1:26" ht="20.100000000000001" customHeight="1" x14ac:dyDescent="0.25">
      <c r="A401" s="160">
        <f t="shared" si="188"/>
        <v>609</v>
      </c>
      <c r="B401" s="169">
        <v>42842</v>
      </c>
      <c r="C401" s="211">
        <v>2349.0100000000002</v>
      </c>
      <c r="D401" s="168">
        <f t="shared" si="185"/>
        <v>8.6133236007644651E-3</v>
      </c>
      <c r="E401" s="205">
        <f t="shared" si="175"/>
        <v>0.11727801982458484</v>
      </c>
      <c r="F401" s="215">
        <v>5856.78</v>
      </c>
      <c r="G401" s="168">
        <f t="shared" si="191"/>
        <v>8.8938270328932263E-3</v>
      </c>
      <c r="H401" s="199">
        <f t="shared" si="193"/>
        <v>0.15026022742895298</v>
      </c>
      <c r="I401" s="217">
        <v>420202.33</v>
      </c>
      <c r="J401" s="170">
        <v>400000</v>
      </c>
      <c r="K401" s="170">
        <f t="shared" si="194"/>
        <v>1895.7999999999884</v>
      </c>
      <c r="L401" s="168">
        <f t="shared" si="190"/>
        <v>4.5320832070204313E-3</v>
      </c>
      <c r="M401" s="178">
        <f t="shared" si="178"/>
        <v>20202.330000000016</v>
      </c>
      <c r="N401" s="180">
        <f t="shared" si="189"/>
        <v>5.0505825000000039E-2</v>
      </c>
      <c r="O401" s="179">
        <f t="shared" si="192"/>
        <v>3.0291055141625639E-2</v>
      </c>
      <c r="P401" s="178" t="b">
        <f t="shared" si="180"/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si="195"/>
        <v>132065.73000000004</v>
      </c>
      <c r="T401" s="170">
        <v>-32580</v>
      </c>
      <c r="U401" s="170">
        <f t="shared" si="196"/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4">
        <f t="shared" si="166"/>
        <v>-6.6772194824584796E-2</v>
      </c>
    </row>
    <row r="402" spans="1:26" ht="20.100000000000001" customHeight="1" x14ac:dyDescent="0.25">
      <c r="A402" s="160">
        <f t="shared" si="188"/>
        <v>610</v>
      </c>
      <c r="B402" s="169">
        <v>42843</v>
      </c>
      <c r="C402" s="211">
        <v>2342.19</v>
      </c>
      <c r="D402" s="168">
        <f t="shared" si="185"/>
        <v>-2.9033507733045678E-3</v>
      </c>
      <c r="E402" s="205">
        <f t="shared" si="175"/>
        <v>0.11403416982173094</v>
      </c>
      <c r="F402" s="215">
        <v>5849.47</v>
      </c>
      <c r="G402" s="168">
        <f t="shared" ref="G402:G411" si="197">(F402-F401)/F401</f>
        <v>-1.2481261034219299E-3</v>
      </c>
      <c r="H402" s="199">
        <f t="shared" si="193"/>
        <v>0.14882455761337088</v>
      </c>
      <c r="I402" s="217">
        <v>417764.53</v>
      </c>
      <c r="J402" s="170">
        <v>400000</v>
      </c>
      <c r="K402" s="170">
        <f t="shared" si="194"/>
        <v>-2437.7999999999884</v>
      </c>
      <c r="L402" s="168">
        <f t="shared" ref="L402:L411" si="198">K402/I401</f>
        <v>-5.801490915102704E-3</v>
      </c>
      <c r="M402" s="178">
        <f t="shared" si="178"/>
        <v>17764.530000000028</v>
      </c>
      <c r="N402" s="180">
        <f t="shared" si="189"/>
        <v>4.4411325000000071E-2</v>
      </c>
      <c r="O402" s="179">
        <f t="shared" si="192"/>
        <v>2.6592190911885288E-2</v>
      </c>
      <c r="P402" s="178" t="b">
        <f t="shared" si="180"/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si="195"/>
        <v>127111.33000000002</v>
      </c>
      <c r="T402" s="170">
        <v>-32684</v>
      </c>
      <c r="U402" s="170">
        <f t="shared" si="196"/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4">
        <f t="shared" si="166"/>
        <v>-6.9622844821730867E-2</v>
      </c>
    </row>
    <row r="403" spans="1:26" ht="20.100000000000001" customHeight="1" x14ac:dyDescent="0.25">
      <c r="A403" s="160">
        <f t="shared" si="188"/>
        <v>611</v>
      </c>
      <c r="B403" s="169">
        <v>42844</v>
      </c>
      <c r="C403" s="211">
        <v>2338.17</v>
      </c>
      <c r="D403" s="168">
        <f t="shared" si="185"/>
        <v>-1.716342397499768E-3</v>
      </c>
      <c r="E403" s="205">
        <f t="shared" si="175"/>
        <v>0.11212210574380245</v>
      </c>
      <c r="F403" s="215">
        <v>5863.03</v>
      </c>
      <c r="G403" s="168">
        <f t="shared" si="197"/>
        <v>2.3181587391677347E-3</v>
      </c>
      <c r="H403" s="199">
        <f t="shared" si="193"/>
        <v>0.15148771530137281</v>
      </c>
      <c r="I403" s="217">
        <v>412053.83</v>
      </c>
      <c r="J403" s="170">
        <v>400000</v>
      </c>
      <c r="K403" s="170">
        <f t="shared" si="194"/>
        <v>-5710.7000000000116</v>
      </c>
      <c r="L403" s="168">
        <f t="shared" si="198"/>
        <v>-1.3669662189846542E-2</v>
      </c>
      <c r="M403" s="178">
        <f t="shared" si="178"/>
        <v>12053.830000000016</v>
      </c>
      <c r="N403" s="180">
        <f t="shared" si="189"/>
        <v>3.0134575000000042E-2</v>
      </c>
      <c r="O403" s="179">
        <f t="shared" si="192"/>
        <v>1.801416287847793E-2</v>
      </c>
      <c r="P403" s="178" t="b">
        <f t="shared" si="180"/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si="195"/>
        <v>122039.33000000002</v>
      </c>
      <c r="T403" s="170">
        <v>-34379</v>
      </c>
      <c r="U403" s="170">
        <f t="shared" si="196"/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4">
        <f t="shared" si="166"/>
        <v>-8.1987530743802411E-2</v>
      </c>
    </row>
    <row r="404" spans="1:26" ht="20.100000000000001" customHeight="1" x14ac:dyDescent="0.25">
      <c r="A404" s="160">
        <f t="shared" si="188"/>
        <v>612</v>
      </c>
      <c r="B404" s="169">
        <v>42845</v>
      </c>
      <c r="C404" s="211">
        <v>2355.84</v>
      </c>
      <c r="D404" s="168">
        <f t="shared" si="185"/>
        <v>7.5571921631019442E-3</v>
      </c>
      <c r="E404" s="205">
        <f t="shared" si="175"/>
        <v>0.12052662620574194</v>
      </c>
      <c r="F404" s="215">
        <v>5916.77</v>
      </c>
      <c r="G404" s="168">
        <f t="shared" si="197"/>
        <v>9.1659090947855786E-3</v>
      </c>
      <c r="H404" s="199">
        <f t="shared" si="193"/>
        <v>0.16204214702358755</v>
      </c>
      <c r="I404" s="217">
        <v>413381.09</v>
      </c>
      <c r="J404" s="170">
        <v>400000</v>
      </c>
      <c r="K404" s="170">
        <f t="shared" si="194"/>
        <v>1327.2600000000093</v>
      </c>
      <c r="L404" s="168">
        <f t="shared" si="198"/>
        <v>3.2210840025440591E-3</v>
      </c>
      <c r="M404" s="178">
        <f t="shared" si="178"/>
        <v>13381.090000000026</v>
      </c>
      <c r="N404" s="180">
        <f t="shared" si="189"/>
        <v>3.3452725000000065E-2</v>
      </c>
      <c r="O404" s="179">
        <f t="shared" si="192"/>
        <v>1.996504543504906E-2</v>
      </c>
      <c r="P404" s="178" t="b">
        <f t="shared" si="180"/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si="195"/>
        <v>126625.29000000004</v>
      </c>
      <c r="T404" s="170">
        <v>-34560</v>
      </c>
      <c r="U404" s="170">
        <f t="shared" si="196"/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4">
        <f t="shared" si="166"/>
        <v>-8.7073901205741877E-2</v>
      </c>
    </row>
    <row r="405" spans="1:26" ht="20.100000000000001" customHeight="1" x14ac:dyDescent="0.25">
      <c r="A405" s="160">
        <f t="shared" si="188"/>
        <v>613</v>
      </c>
      <c r="B405" s="169">
        <v>42846</v>
      </c>
      <c r="C405" s="211">
        <v>2348.69</v>
      </c>
      <c r="D405" s="168">
        <f t="shared" si="185"/>
        <v>-3.035010866612372E-3</v>
      </c>
      <c r="E405" s="205">
        <f t="shared" si="175"/>
        <v>0.11712581571887902</v>
      </c>
      <c r="F405" s="215">
        <v>5910.52</v>
      </c>
      <c r="G405" s="168">
        <f t="shared" si="197"/>
        <v>-1.0563195797707195E-3</v>
      </c>
      <c r="H405" s="199">
        <f t="shared" si="193"/>
        <v>0.16081465915116772</v>
      </c>
      <c r="I405" s="217">
        <v>413138.88</v>
      </c>
      <c r="J405" s="170">
        <v>400000</v>
      </c>
      <c r="K405" s="170">
        <f t="shared" si="194"/>
        <v>-242.21000000002095</v>
      </c>
      <c r="L405" s="168">
        <f t="shared" si="198"/>
        <v>-5.8592423760850051E-4</v>
      </c>
      <c r="M405" s="178">
        <f t="shared" si="178"/>
        <v>13138.880000000005</v>
      </c>
      <c r="N405" s="180">
        <f t="shared" si="189"/>
        <v>3.2847200000000014E-2</v>
      </c>
      <c r="O405" s="179">
        <f t="shared" si="192"/>
        <v>1.9571679934747153E-2</v>
      </c>
      <c r="P405" s="178" t="b">
        <f t="shared" si="180"/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si="195"/>
        <v>115671.28000000003</v>
      </c>
      <c r="T405" s="170">
        <v>-34397</v>
      </c>
      <c r="U405" s="170">
        <f t="shared" si="196"/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4">
        <f t="shared" si="166"/>
        <v>-8.4278615718879013E-2</v>
      </c>
    </row>
    <row r="406" spans="1:26" ht="20.100000000000001" customHeight="1" x14ac:dyDescent="0.25">
      <c r="A406" s="160">
        <f t="shared" si="188"/>
        <v>616</v>
      </c>
      <c r="B406" s="238">
        <v>42849</v>
      </c>
      <c r="C406" s="327">
        <v>2374.15</v>
      </c>
      <c r="D406" s="168">
        <f t="shared" si="185"/>
        <v>1.084008532415944E-2</v>
      </c>
      <c r="E406" s="240">
        <f t="shared" si="175"/>
        <v>0.12923555487909288</v>
      </c>
      <c r="F406" s="241">
        <v>5983.81</v>
      </c>
      <c r="G406" s="168">
        <f t="shared" si="197"/>
        <v>1.2399924202946604E-2</v>
      </c>
      <c r="H406" s="242">
        <f t="shared" si="193"/>
        <v>0.17520867293831149</v>
      </c>
      <c r="I406" s="539">
        <v>413141.03</v>
      </c>
      <c r="J406" s="244">
        <v>400000</v>
      </c>
      <c r="K406" s="244">
        <f t="shared" si="194"/>
        <v>2.1500000000232831</v>
      </c>
      <c r="L406" s="168">
        <f t="shared" si="198"/>
        <v>5.2040611622495641E-6</v>
      </c>
      <c r="M406" s="572">
        <f t="shared" si="178"/>
        <v>13141.030000000028</v>
      </c>
      <c r="N406" s="246">
        <f t="shared" si="189"/>
        <v>3.2852575000000071E-2</v>
      </c>
      <c r="O406" s="179">
        <f t="shared" si="192"/>
        <v>1.9479550355113676E-2</v>
      </c>
      <c r="P406" s="245" t="b">
        <f t="shared" si="180"/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si="195"/>
        <v>115678.43000000005</v>
      </c>
      <c r="T406" s="244">
        <v>-34227</v>
      </c>
      <c r="U406" s="244">
        <f t="shared" si="196"/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4">
        <f t="shared" si="166"/>
        <v>-9.6382979879092806E-2</v>
      </c>
    </row>
    <row r="407" spans="1:26" ht="20.100000000000001" customHeight="1" x14ac:dyDescent="0.25">
      <c r="A407" s="160">
        <f t="shared" si="188"/>
        <v>617</v>
      </c>
      <c r="B407" s="238">
        <v>42850</v>
      </c>
      <c r="C407" s="327">
        <v>2388.61</v>
      </c>
      <c r="D407" s="168">
        <f t="shared" si="185"/>
        <v>6.0906008466188053E-3</v>
      </c>
      <c r="E407" s="240">
        <f t="shared" si="175"/>
        <v>0.13611327790567154</v>
      </c>
      <c r="F407" s="241">
        <v>6025.49</v>
      </c>
      <c r="G407" s="168">
        <f t="shared" si="197"/>
        <v>6.9654618044355313E-3</v>
      </c>
      <c r="H407" s="242">
        <f t="shared" si="193"/>
        <v>0.18339454406190467</v>
      </c>
      <c r="I407" s="539">
        <v>416914.62</v>
      </c>
      <c r="J407" s="244">
        <v>400000</v>
      </c>
      <c r="K407" s="244">
        <f t="shared" si="194"/>
        <v>3773.5899999999674</v>
      </c>
      <c r="L407" s="168">
        <f t="shared" si="198"/>
        <v>9.1339027740720089E-3</v>
      </c>
      <c r="M407" s="572">
        <f t="shared" si="178"/>
        <v>16914.619999999995</v>
      </c>
      <c r="N407" s="246">
        <f t="shared" si="189"/>
        <v>4.2286549999999985E-2</v>
      </c>
      <c r="O407" s="179">
        <f t="shared" si="192"/>
        <v>2.5032678099675843E-2</v>
      </c>
      <c r="P407" s="245" t="b">
        <f t="shared" si="180"/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si="195"/>
        <v>120597.12</v>
      </c>
      <c r="T407" s="244">
        <v>-34395</v>
      </c>
      <c r="U407" s="244">
        <f t="shared" si="196"/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4">
        <f t="shared" si="166"/>
        <v>-9.3826727905671564E-2</v>
      </c>
    </row>
    <row r="408" spans="1:26" ht="20.100000000000001" customHeight="1" x14ac:dyDescent="0.25">
      <c r="A408" s="160">
        <f t="shared" si="188"/>
        <v>618</v>
      </c>
      <c r="B408" s="238">
        <v>42851</v>
      </c>
      <c r="C408" s="327">
        <v>2387.4499999999998</v>
      </c>
      <c r="D408" s="168">
        <f t="shared" si="185"/>
        <v>-4.8563809077258708E-4</v>
      </c>
      <c r="E408" s="240">
        <f t="shared" si="175"/>
        <v>0.13556153802248805</v>
      </c>
      <c r="F408" s="241">
        <v>6025.22</v>
      </c>
      <c r="G408" s="168">
        <f t="shared" si="197"/>
        <v>-4.4809633739252256E-5</v>
      </c>
      <c r="H408" s="242">
        <f t="shared" si="193"/>
        <v>0.18334151658581621</v>
      </c>
      <c r="I408" s="539">
        <v>415083.58</v>
      </c>
      <c r="J408" s="244">
        <v>400000</v>
      </c>
      <c r="K408" s="244">
        <f t="shared" si="194"/>
        <v>-1831.039999999979</v>
      </c>
      <c r="L408" s="168">
        <f t="shared" si="198"/>
        <v>-4.3918824434604356E-3</v>
      </c>
      <c r="M408" s="572">
        <f t="shared" si="178"/>
        <v>15083.580000000016</v>
      </c>
      <c r="N408" s="246">
        <f t="shared" si="189"/>
        <v>3.770895000000004E-2</v>
      </c>
      <c r="O408" s="179">
        <f t="shared" si="192"/>
        <v>2.2286721662621384E-2</v>
      </c>
      <c r="P408" s="245" t="b">
        <f t="shared" si="180"/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si="195"/>
        <v>126993.98000000004</v>
      </c>
      <c r="T408" s="244">
        <v>-34530</v>
      </c>
      <c r="U408" s="244">
        <f t="shared" si="196"/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4">
        <f t="shared" si="166"/>
        <v>-9.7852588022488002E-2</v>
      </c>
    </row>
    <row r="409" spans="1:26" ht="20.100000000000001" customHeight="1" x14ac:dyDescent="0.25">
      <c r="A409" s="160">
        <f t="shared" si="188"/>
        <v>619</v>
      </c>
      <c r="B409" s="238">
        <v>42852</v>
      </c>
      <c r="C409" s="327">
        <v>2388.77</v>
      </c>
      <c r="D409" s="168">
        <f t="shared" si="185"/>
        <v>5.5289116002436227E-4</v>
      </c>
      <c r="E409" s="240">
        <f t="shared" si="175"/>
        <v>0.13618937995852434</v>
      </c>
      <c r="F409" s="241">
        <v>6048.93</v>
      </c>
      <c r="G409" s="168">
        <f t="shared" si="197"/>
        <v>3.9351260202947005E-3</v>
      </c>
      <c r="H409" s="242">
        <f t="shared" si="193"/>
        <v>0.18799811457862806</v>
      </c>
      <c r="I409" s="539">
        <v>412891.26</v>
      </c>
      <c r="J409" s="244">
        <v>400000</v>
      </c>
      <c r="K409" s="244">
        <f t="shared" si="194"/>
        <v>-2192.320000000007</v>
      </c>
      <c r="L409" s="168">
        <f t="shared" si="198"/>
        <v>-5.2816350866011297E-3</v>
      </c>
      <c r="M409" s="572">
        <f t="shared" si="178"/>
        <v>12891.260000000009</v>
      </c>
      <c r="N409" s="246">
        <f t="shared" si="189"/>
        <v>3.2228150000000025E-2</v>
      </c>
      <c r="O409" s="179">
        <f t="shared" si="192"/>
        <v>1.9016691094507286E-2</v>
      </c>
      <c r="P409" s="245" t="b">
        <f t="shared" si="180"/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si="195"/>
        <v>124800.66000000003</v>
      </c>
      <c r="T409" s="244">
        <v>-34529</v>
      </c>
      <c r="U409" s="244">
        <f t="shared" si="196"/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4">
        <f t="shared" si="166"/>
        <v>-0.10396122995852432</v>
      </c>
    </row>
    <row r="410" spans="1:26" ht="20.100000000000001" customHeight="1" x14ac:dyDescent="0.25">
      <c r="A410" s="160">
        <f t="shared" si="188"/>
        <v>620</v>
      </c>
      <c r="B410" s="238">
        <v>42853</v>
      </c>
      <c r="C410" s="327">
        <v>2384.1999999999998</v>
      </c>
      <c r="D410" s="168">
        <f t="shared" si="185"/>
        <v>-1.913118466826092E-3</v>
      </c>
      <c r="E410" s="240">
        <f t="shared" si="175"/>
        <v>0.13401571507391399</v>
      </c>
      <c r="F410" s="241">
        <v>6047.6</v>
      </c>
      <c r="G410" s="168">
        <f t="shared" si="197"/>
        <v>-2.1987359747921155E-4</v>
      </c>
      <c r="H410" s="242">
        <f t="shared" si="193"/>
        <v>0.18773690515937713</v>
      </c>
      <c r="I410" s="638">
        <v>363198.65</v>
      </c>
      <c r="J410" s="244">
        <v>350000</v>
      </c>
      <c r="K410" s="244">
        <f t="shared" si="194"/>
        <v>307.39000000001397</v>
      </c>
      <c r="L410" s="168">
        <f t="shared" si="198"/>
        <v>7.4448173109795048E-4</v>
      </c>
      <c r="M410" s="405">
        <f t="shared" si="178"/>
        <v>13198.650000000023</v>
      </c>
      <c r="N410" s="246">
        <f t="shared" si="189"/>
        <v>3.7710428571428638E-2</v>
      </c>
      <c r="O410" s="179">
        <f t="shared" si="192"/>
        <v>2.2215700057603725E-2</v>
      </c>
      <c r="P410" s="245" t="b">
        <f t="shared" si="180"/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si="195"/>
        <v>82142.450000000012</v>
      </c>
      <c r="T410" s="244">
        <v>-33907</v>
      </c>
      <c r="U410" s="244">
        <f t="shared" si="196"/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4">
        <f t="shared" si="166"/>
        <v>-9.6305286502485349E-2</v>
      </c>
    </row>
    <row r="411" spans="1:26" ht="20.100000000000001" customHeight="1" x14ac:dyDescent="0.25">
      <c r="A411" s="160">
        <f t="shared" si="188"/>
        <v>623</v>
      </c>
      <c r="B411" s="169">
        <v>42856</v>
      </c>
      <c r="C411" s="211">
        <v>2388.33</v>
      </c>
      <c r="D411" s="168">
        <f t="shared" si="185"/>
        <v>1.7322372284204804E-3</v>
      </c>
      <c r="E411" s="205">
        <f t="shared" si="175"/>
        <v>0.13598009931317892</v>
      </c>
      <c r="F411" s="215">
        <v>6091.6</v>
      </c>
      <c r="G411" s="168">
        <f t="shared" si="197"/>
        <v>7.2756134664991069E-3</v>
      </c>
      <c r="H411" s="199">
        <f t="shared" si="193"/>
        <v>0.19637841978121268</v>
      </c>
      <c r="I411" s="217">
        <v>362499.32</v>
      </c>
      <c r="J411" s="170">
        <v>350000</v>
      </c>
      <c r="K411" s="170">
        <f t="shared" si="194"/>
        <v>-699.3300000000163</v>
      </c>
      <c r="L411" s="168">
        <f t="shared" si="198"/>
        <v>-1.9254752185891007E-3</v>
      </c>
      <c r="M411" s="178">
        <f t="shared" si="178"/>
        <v>12499.320000000007</v>
      </c>
      <c r="N411" s="180">
        <f t="shared" si="189"/>
        <v>3.5712342857142879E-2</v>
      </c>
      <c r="O411" s="179">
        <f t="shared" si="192"/>
        <v>2.0937292501719801E-2</v>
      </c>
      <c r="P411" s="178" t="b">
        <f t="shared" si="180"/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si="195"/>
        <v>86672.419999999984</v>
      </c>
      <c r="T411" s="170">
        <v>-33709</v>
      </c>
      <c r="U411" s="170">
        <f t="shared" si="196"/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199">E411/(A411/365.25)/V411</f>
        <v>0.52827581914664401</v>
      </c>
      <c r="Y411" s="171">
        <f t="shared" ref="Y411:Y474" si="200">O411/W411</f>
        <v>6.4181339519696803E-2</v>
      </c>
      <c r="Z411" s="784">
        <f t="shared" ref="Z411:Z474" si="201">-(E411-N411)</f>
        <v>-0.10026775645603604</v>
      </c>
    </row>
    <row r="412" spans="1:26" ht="20.100000000000001" customHeight="1" x14ac:dyDescent="0.25">
      <c r="A412" s="160">
        <f t="shared" si="188"/>
        <v>624</v>
      </c>
      <c r="B412" s="169">
        <v>42857</v>
      </c>
      <c r="C412" s="211">
        <v>2391.17</v>
      </c>
      <c r="D412" s="168">
        <f t="shared" si="185"/>
        <v>1.1891154069999311E-3</v>
      </c>
      <c r="E412" s="205">
        <f t="shared" si="175"/>
        <v>0.13733091075131751</v>
      </c>
      <c r="F412" s="215">
        <v>6095.36</v>
      </c>
      <c r="G412" s="168">
        <f t="shared" ref="G412:G441" si="202">(F412-F411)/F411</f>
        <v>6.1724341716450667E-4</v>
      </c>
      <c r="H412" s="199">
        <f t="shared" si="193"/>
        <v>0.1971168764852603</v>
      </c>
      <c r="I412" s="217">
        <v>359669.82</v>
      </c>
      <c r="J412" s="170">
        <v>350000</v>
      </c>
      <c r="K412" s="170">
        <f t="shared" si="194"/>
        <v>-2829.5</v>
      </c>
      <c r="L412" s="168">
        <f t="shared" ref="L412:L441" si="203">K412/I411</f>
        <v>-7.8055318834804989E-3</v>
      </c>
      <c r="M412" s="178">
        <f t="shared" si="178"/>
        <v>9669.820000000007</v>
      </c>
      <c r="N412" s="180">
        <f t="shared" si="189"/>
        <v>2.7628057142857161E-2</v>
      </c>
      <c r="O412" s="179">
        <f t="shared" si="192"/>
        <v>1.6171711332417592E-2</v>
      </c>
      <c r="P412" s="178" t="b">
        <f t="shared" si="180"/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si="195"/>
        <v>81255.419999999984</v>
      </c>
      <c r="T412" s="170">
        <v>-34708</v>
      </c>
      <c r="U412" s="170">
        <f t="shared" si="196"/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199"/>
        <v>0.53331602984880633</v>
      </c>
      <c r="Y412" s="171">
        <f t="shared" si="200"/>
        <v>4.9623666361723308E-2</v>
      </c>
      <c r="Z412" s="784">
        <f t="shared" si="201"/>
        <v>-0.10970285360846035</v>
      </c>
    </row>
    <row r="413" spans="1:26" ht="20.100000000000001" customHeight="1" x14ac:dyDescent="0.25">
      <c r="A413" s="160">
        <f t="shared" si="188"/>
        <v>625</v>
      </c>
      <c r="B413" s="169">
        <v>42858</v>
      </c>
      <c r="C413" s="211">
        <v>2388.13</v>
      </c>
      <c r="D413" s="168">
        <f t="shared" si="185"/>
        <v>-1.2713441536988017E-3</v>
      </c>
      <c r="E413" s="205">
        <f t="shared" si="175"/>
        <v>0.13588497174711289</v>
      </c>
      <c r="F413" s="215">
        <v>6072.55</v>
      </c>
      <c r="G413" s="168">
        <f t="shared" si="202"/>
        <v>-3.7421907811842929E-3</v>
      </c>
      <c r="H413" s="199">
        <f t="shared" si="193"/>
        <v>0.19263703674607702</v>
      </c>
      <c r="I413" s="217">
        <v>359426.22</v>
      </c>
      <c r="J413" s="170">
        <v>350000</v>
      </c>
      <c r="K413" s="170">
        <f t="shared" si="194"/>
        <v>-243.60000000003492</v>
      </c>
      <c r="L413" s="168">
        <f t="shared" si="203"/>
        <v>-6.7728785250882302E-4</v>
      </c>
      <c r="M413" s="178">
        <f t="shared" si="178"/>
        <v>9426.2199999999721</v>
      </c>
      <c r="N413" s="180">
        <f t="shared" si="189"/>
        <v>2.6932057142857062E-2</v>
      </c>
      <c r="O413" s="179">
        <f t="shared" si="192"/>
        <v>1.5739094194285666E-2</v>
      </c>
      <c r="P413" s="178" t="b">
        <f t="shared" si="180"/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si="195"/>
        <v>78857.419999999984</v>
      </c>
      <c r="T413" s="170">
        <v>-36065</v>
      </c>
      <c r="U413" s="170">
        <f t="shared" si="196"/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199"/>
        <v>0.52748121967766104</v>
      </c>
      <c r="Y413" s="171">
        <f t="shared" si="200"/>
        <v>4.8354974527723617E-2</v>
      </c>
      <c r="Z413" s="784">
        <f t="shared" si="201"/>
        <v>-0.10895291460425582</v>
      </c>
    </row>
    <row r="414" spans="1:26" ht="20.100000000000001" customHeight="1" x14ac:dyDescent="0.25">
      <c r="A414" s="160">
        <f t="shared" si="188"/>
        <v>626</v>
      </c>
      <c r="B414" s="169">
        <v>42859</v>
      </c>
      <c r="C414" s="211">
        <v>2389.52</v>
      </c>
      <c r="D414" s="168">
        <f t="shared" ref="D414:D426" si="204">(C414-C413)/C413</f>
        <v>5.8204536603948388E-4</v>
      </c>
      <c r="E414" s="205">
        <f t="shared" si="175"/>
        <v>0.1365461083312722</v>
      </c>
      <c r="F414" s="215">
        <v>6075.33</v>
      </c>
      <c r="G414" s="168">
        <f t="shared" si="202"/>
        <v>4.5779779499547063E-4</v>
      </c>
      <c r="H414" s="199">
        <f t="shared" si="193"/>
        <v>0.19318302335172932</v>
      </c>
      <c r="I414" s="217">
        <v>354486.32</v>
      </c>
      <c r="J414" s="170">
        <v>350000</v>
      </c>
      <c r="K414" s="170">
        <f t="shared" si="194"/>
        <v>-4939.8999999999651</v>
      </c>
      <c r="L414" s="168">
        <f t="shared" si="203"/>
        <v>-1.3743849850464347E-2</v>
      </c>
      <c r="M414" s="178">
        <f t="shared" si="178"/>
        <v>4486.320000000007</v>
      </c>
      <c r="N414" s="180">
        <f t="shared" si="189"/>
        <v>1.2818057142857163E-2</v>
      </c>
      <c r="O414" s="179">
        <f t="shared" si="192"/>
        <v>7.4789063441351097E-3</v>
      </c>
      <c r="P414" s="178" t="b">
        <f t="shared" si="180"/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si="195"/>
        <v>78857.419999999984</v>
      </c>
      <c r="T414" s="170">
        <v>-36518</v>
      </c>
      <c r="U414" s="170">
        <f t="shared" si="196"/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199"/>
        <v>0.52984551636347244</v>
      </c>
      <c r="Y414" s="171">
        <f t="shared" si="200"/>
        <v>2.2991858185174078E-2</v>
      </c>
      <c r="Z414" s="784">
        <f t="shared" si="201"/>
        <v>-0.12372805118841504</v>
      </c>
    </row>
    <row r="415" spans="1:26" ht="20.100000000000001" customHeight="1" x14ac:dyDescent="0.25">
      <c r="A415" s="160">
        <f t="shared" si="188"/>
        <v>627</v>
      </c>
      <c r="B415" s="169">
        <v>42860</v>
      </c>
      <c r="C415" s="211">
        <v>2399.29</v>
      </c>
      <c r="D415" s="168">
        <f t="shared" si="204"/>
        <v>4.0886872677357716E-3</v>
      </c>
      <c r="E415" s="205">
        <f t="shared" si="175"/>
        <v>0.14119308993360091</v>
      </c>
      <c r="F415" s="215">
        <v>6100.75</v>
      </c>
      <c r="G415" s="168">
        <f t="shared" si="202"/>
        <v>4.1841348535799818E-3</v>
      </c>
      <c r="H415" s="199">
        <f t="shared" si="193"/>
        <v>0.19817546202643521</v>
      </c>
      <c r="I415" s="217">
        <v>357180.36</v>
      </c>
      <c r="J415" s="170">
        <v>350000</v>
      </c>
      <c r="K415" s="170">
        <f t="shared" si="194"/>
        <v>2694.039999999979</v>
      </c>
      <c r="L415" s="168">
        <f t="shared" si="203"/>
        <v>7.5998419346619047E-3</v>
      </c>
      <c r="M415" s="178">
        <f t="shared" si="178"/>
        <v>7180.359999999986</v>
      </c>
      <c r="N415" s="180">
        <f t="shared" si="189"/>
        <v>2.0515314285714247E-2</v>
      </c>
      <c r="O415" s="179">
        <f t="shared" si="192"/>
        <v>1.1950906766917272E-2</v>
      </c>
      <c r="P415" s="178" t="b">
        <f t="shared" si="180"/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si="195"/>
        <v>77439.359999999986</v>
      </c>
      <c r="T415" s="170">
        <v>-36093</v>
      </c>
      <c r="U415" s="170">
        <f t="shared" si="196"/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199"/>
        <v>0.54756541244818879</v>
      </c>
      <c r="Y415" s="171">
        <f t="shared" si="200"/>
        <v>3.6779045414986541E-2</v>
      </c>
      <c r="Z415" s="784">
        <f t="shared" si="201"/>
        <v>-0.12067777564788666</v>
      </c>
    </row>
    <row r="416" spans="1:26" ht="20.100000000000001" customHeight="1" x14ac:dyDescent="0.25">
      <c r="A416" s="160">
        <f t="shared" si="188"/>
        <v>630</v>
      </c>
      <c r="B416" s="238">
        <v>42863</v>
      </c>
      <c r="C416" s="327">
        <v>2399.38</v>
      </c>
      <c r="D416" s="168">
        <f t="shared" si="204"/>
        <v>3.7511097032932877E-5</v>
      </c>
      <c r="E416" s="240">
        <f t="shared" si="175"/>
        <v>0.14123589733833072</v>
      </c>
      <c r="F416" s="241">
        <v>6102.66</v>
      </c>
      <c r="G416" s="168">
        <f t="shared" si="202"/>
        <v>3.1307626111541279E-4</v>
      </c>
      <c r="H416" s="242">
        <f t="shared" si="193"/>
        <v>0.19855058232024669</v>
      </c>
      <c r="I416" s="539">
        <v>358405.67</v>
      </c>
      <c r="J416" s="244">
        <v>350000</v>
      </c>
      <c r="K416" s="244">
        <f t="shared" si="194"/>
        <v>1225.3099999999977</v>
      </c>
      <c r="L416" s="168">
        <f t="shared" si="203"/>
        <v>3.4305077692401613E-3</v>
      </c>
      <c r="M416" s="572">
        <f t="shared" si="178"/>
        <v>8405.6699999999837</v>
      </c>
      <c r="N416" s="246">
        <f t="shared" si="189"/>
        <v>2.4016199999999953E-2</v>
      </c>
      <c r="O416" s="179">
        <f t="shared" si="192"/>
        <v>1.392367785714283E-2</v>
      </c>
      <c r="P416" s="245" t="b">
        <f t="shared" si="180"/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si="195"/>
        <v>81721.669999999984</v>
      </c>
      <c r="T416" s="244">
        <v>-35635</v>
      </c>
      <c r="U416" s="244">
        <f t="shared" si="196"/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199"/>
        <v>0.54578354804680929</v>
      </c>
      <c r="Y416" s="171">
        <f t="shared" si="200"/>
        <v>4.2901155931702593E-2</v>
      </c>
      <c r="Z416" s="784">
        <f t="shared" si="201"/>
        <v>-0.11721969733833076</v>
      </c>
    </row>
    <row r="417" spans="1:26" ht="20.100000000000001" customHeight="1" x14ac:dyDescent="0.25">
      <c r="A417" s="160">
        <f t="shared" si="188"/>
        <v>631</v>
      </c>
      <c r="B417" s="238">
        <v>42864</v>
      </c>
      <c r="C417" s="327">
        <v>2396.92</v>
      </c>
      <c r="D417" s="168">
        <f t="shared" si="204"/>
        <v>-1.0252648600888713E-3</v>
      </c>
      <c r="E417" s="240">
        <f t="shared" si="175"/>
        <v>0.14006582827571773</v>
      </c>
      <c r="F417" s="241">
        <v>6120.58</v>
      </c>
      <c r="G417" s="168">
        <f t="shared" si="202"/>
        <v>2.9364244444226081E-3</v>
      </c>
      <c r="H417" s="242">
        <f t="shared" si="193"/>
        <v>0.20207003554804881</v>
      </c>
      <c r="I417" s="539">
        <v>357612.56</v>
      </c>
      <c r="J417" s="244">
        <v>350000</v>
      </c>
      <c r="K417" s="244">
        <f t="shared" si="194"/>
        <v>-793.10999999998603</v>
      </c>
      <c r="L417" s="168">
        <f t="shared" si="203"/>
        <v>-2.2128835182768903E-3</v>
      </c>
      <c r="M417" s="572">
        <f t="shared" si="178"/>
        <v>7612.5599999999977</v>
      </c>
      <c r="N417" s="246">
        <f t="shared" si="189"/>
        <v>2.1750171428571424E-2</v>
      </c>
      <c r="O417" s="179">
        <f t="shared" si="192"/>
        <v>1.2589936789676247E-2</v>
      </c>
      <c r="P417" s="245" t="b">
        <f t="shared" si="180"/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si="195"/>
        <v>106693.95999999999</v>
      </c>
      <c r="T417" s="244">
        <v>-36105</v>
      </c>
      <c r="U417" s="244">
        <f t="shared" si="196"/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199"/>
        <v>0.54104395386140325</v>
      </c>
      <c r="Y417" s="171">
        <f t="shared" si="200"/>
        <v>3.8837800778595243E-2</v>
      </c>
      <c r="Z417" s="784">
        <f t="shared" si="201"/>
        <v>-0.1183156568471463</v>
      </c>
    </row>
    <row r="418" spans="1:26" ht="20.100000000000001" customHeight="1" x14ac:dyDescent="0.25">
      <c r="A418" s="160">
        <f t="shared" si="188"/>
        <v>632</v>
      </c>
      <c r="B418" s="238">
        <v>42865</v>
      </c>
      <c r="C418" s="327">
        <v>2399.63</v>
      </c>
      <c r="D418" s="168">
        <f t="shared" si="204"/>
        <v>1.1306176259533219E-3</v>
      </c>
      <c r="E418" s="240">
        <f t="shared" si="175"/>
        <v>0.14135480679591333</v>
      </c>
      <c r="F418" s="241">
        <v>6129.14</v>
      </c>
      <c r="G418" s="168">
        <f t="shared" si="202"/>
        <v>1.3985602671642884E-3</v>
      </c>
      <c r="H418" s="242">
        <f t="shared" si="193"/>
        <v>0.20375120293811508</v>
      </c>
      <c r="I418" s="539">
        <v>364191.11</v>
      </c>
      <c r="J418" s="244">
        <v>350000</v>
      </c>
      <c r="K418" s="244">
        <f t="shared" si="194"/>
        <v>6578.5499999999884</v>
      </c>
      <c r="L418" s="168">
        <f t="shared" si="203"/>
        <v>1.839574650286329E-2</v>
      </c>
      <c r="M418" s="572">
        <f t="shared" si="178"/>
        <v>14191.109999999986</v>
      </c>
      <c r="N418" s="246">
        <f t="shared" si="189"/>
        <v>4.0546028571428534E-2</v>
      </c>
      <c r="O418" s="179">
        <f t="shared" si="192"/>
        <v>2.3432653379294736E-2</v>
      </c>
      <c r="P418" s="245" t="b">
        <f t="shared" si="180"/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si="195"/>
        <v>102644.90999999997</v>
      </c>
      <c r="T418" s="244">
        <v>-32756</v>
      </c>
      <c r="U418" s="244">
        <f t="shared" si="196"/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199"/>
        <v>0.5458126662731192</v>
      </c>
      <c r="Y418" s="171">
        <f t="shared" si="200"/>
        <v>7.2305894545873259E-2</v>
      </c>
      <c r="Z418" s="784">
        <f t="shared" si="201"/>
        <v>-0.10080877822448481</v>
      </c>
    </row>
    <row r="419" spans="1:26" ht="20.100000000000001" customHeight="1" x14ac:dyDescent="0.25">
      <c r="A419" s="160">
        <f t="shared" si="188"/>
        <v>633</v>
      </c>
      <c r="B419" s="238">
        <v>42866</v>
      </c>
      <c r="C419" s="327">
        <v>2394.44</v>
      </c>
      <c r="D419" s="168">
        <f t="shared" si="204"/>
        <v>-2.1628334368215328E-3</v>
      </c>
      <c r="E419" s="240">
        <f t="shared" si="175"/>
        <v>0.13888624645649816</v>
      </c>
      <c r="F419" s="241">
        <v>6115.96</v>
      </c>
      <c r="G419" s="168">
        <f t="shared" si="202"/>
        <v>-2.1503832511576321E-3</v>
      </c>
      <c r="H419" s="242">
        <f t="shared" si="193"/>
        <v>0.2011626765127561</v>
      </c>
      <c r="I419" s="539">
        <v>363186.71</v>
      </c>
      <c r="J419" s="244">
        <v>350000</v>
      </c>
      <c r="K419" s="244">
        <f t="shared" si="194"/>
        <v>-1004.3999999999651</v>
      </c>
      <c r="L419" s="168">
        <f t="shared" si="203"/>
        <v>-2.7578926899120768E-3</v>
      </c>
      <c r="M419" s="572">
        <f t="shared" si="178"/>
        <v>13186.710000000021</v>
      </c>
      <c r="N419" s="246">
        <f t="shared" si="189"/>
        <v>3.7676314285714343E-2</v>
      </c>
      <c r="O419" s="179">
        <f t="shared" si="192"/>
        <v>2.1739769025050811E-2</v>
      </c>
      <c r="P419" s="245" t="b">
        <f t="shared" si="180"/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si="195"/>
        <v>97902.610000000044</v>
      </c>
      <c r="T419" s="244">
        <v>-32128</v>
      </c>
      <c r="U419" s="244">
        <f t="shared" si="196"/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199"/>
        <v>0.53603212925544852</v>
      </c>
      <c r="Y419" s="171">
        <f t="shared" si="200"/>
        <v>6.7160876851205475E-2</v>
      </c>
      <c r="Z419" s="784">
        <f t="shared" si="201"/>
        <v>-0.10120993217078382</v>
      </c>
    </row>
    <row r="420" spans="1:26" ht="20.100000000000001" customHeight="1" x14ac:dyDescent="0.25">
      <c r="A420" s="160">
        <f t="shared" si="188"/>
        <v>634</v>
      </c>
      <c r="B420" s="238">
        <v>42867</v>
      </c>
      <c r="C420" s="327">
        <v>2390.9</v>
      </c>
      <c r="D420" s="168">
        <f t="shared" si="204"/>
        <v>-1.4784250179582547E-3</v>
      </c>
      <c r="E420" s="240">
        <f t="shared" si="175"/>
        <v>0.1372024885371283</v>
      </c>
      <c r="F420" s="241">
        <v>6121.23</v>
      </c>
      <c r="G420" s="168">
        <f t="shared" si="202"/>
        <v>8.6167993250438639E-4</v>
      </c>
      <c r="H420" s="242">
        <f t="shared" si="193"/>
        <v>0.20219769428678042</v>
      </c>
      <c r="I420" s="539">
        <v>359448.71</v>
      </c>
      <c r="J420" s="244">
        <v>350000</v>
      </c>
      <c r="K420" s="244">
        <f t="shared" si="194"/>
        <v>-3738</v>
      </c>
      <c r="L420" s="168">
        <f t="shared" si="203"/>
        <v>-1.0292226827352795E-2</v>
      </c>
      <c r="M420" s="572">
        <f t="shared" si="178"/>
        <v>9448.710000000021</v>
      </c>
      <c r="N420" s="246">
        <f t="shared" si="189"/>
        <v>2.6996314285714345E-2</v>
      </c>
      <c r="O420" s="179">
        <f t="shared" si="192"/>
        <v>1.555268737043717E-2</v>
      </c>
      <c r="P420" s="245" t="b">
        <f t="shared" si="180"/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si="195"/>
        <v>93306.610000000044</v>
      </c>
      <c r="T420" s="244">
        <v>-32431</v>
      </c>
      <c r="U420" s="244">
        <f t="shared" si="196"/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199"/>
        <v>0.52930942435624384</v>
      </c>
      <c r="Y420" s="171">
        <f t="shared" si="200"/>
        <v>4.8088608293592995E-2</v>
      </c>
      <c r="Z420" s="784">
        <f t="shared" si="201"/>
        <v>-0.11020617425141395</v>
      </c>
    </row>
    <row r="421" spans="1:26" ht="20.100000000000001" customHeight="1" x14ac:dyDescent="0.25">
      <c r="A421" s="160">
        <f t="shared" si="188"/>
        <v>637</v>
      </c>
      <c r="B421" s="169">
        <v>42870</v>
      </c>
      <c r="C421" s="211">
        <v>2402.3200000000002</v>
      </c>
      <c r="D421" s="168">
        <f t="shared" si="204"/>
        <v>4.7764440168974326E-3</v>
      </c>
      <c r="E421" s="205">
        <f t="shared" si="175"/>
        <v>0.14263427255950234</v>
      </c>
      <c r="F421" s="215">
        <v>6149.47</v>
      </c>
      <c r="G421" s="168">
        <f t="shared" si="202"/>
        <v>4.6134518716010823E-3</v>
      </c>
      <c r="H421" s="199">
        <f t="shared" si="193"/>
        <v>0.20774397548952225</v>
      </c>
      <c r="I421" s="217">
        <v>361662.81</v>
      </c>
      <c r="J421" s="170">
        <v>350000</v>
      </c>
      <c r="K421" s="170">
        <f t="shared" si="194"/>
        <v>2214.0999999999767</v>
      </c>
      <c r="L421" s="168">
        <f t="shared" si="203"/>
        <v>6.1597105189220925E-3</v>
      </c>
      <c r="M421" s="178">
        <f t="shared" si="178"/>
        <v>11662.809999999998</v>
      </c>
      <c r="N421" s="180">
        <f t="shared" si="189"/>
        <v>3.3322314285714277E-2</v>
      </c>
      <c r="O421" s="179">
        <f t="shared" si="192"/>
        <v>1.9106711605741192E-2</v>
      </c>
      <c r="P421" s="178" t="b">
        <f t="shared" si="180"/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si="195"/>
        <v>93306.609999999986</v>
      </c>
      <c r="T421" s="170">
        <v>-31638</v>
      </c>
      <c r="U421" s="170">
        <f t="shared" si="196"/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199"/>
        <v>0.54818426208120785</v>
      </c>
      <c r="Y421" s="171">
        <f t="shared" si="200"/>
        <v>5.914288195044231E-2</v>
      </c>
      <c r="Z421" s="784">
        <f t="shared" si="201"/>
        <v>-0.10931195827378806</v>
      </c>
    </row>
    <row r="422" spans="1:26" ht="20.100000000000001" customHeight="1" x14ac:dyDescent="0.25">
      <c r="A422" s="160">
        <f t="shared" si="188"/>
        <v>638</v>
      </c>
      <c r="B422" s="169">
        <v>42871</v>
      </c>
      <c r="C422" s="211">
        <v>2400.67</v>
      </c>
      <c r="D422" s="168">
        <f t="shared" si="204"/>
        <v>-6.8683605847684362E-4</v>
      </c>
      <c r="E422" s="205">
        <f t="shared" si="175"/>
        <v>0.14184947013945701</v>
      </c>
      <c r="F422" s="215">
        <v>6169.87</v>
      </c>
      <c r="G422" s="168">
        <f t="shared" si="202"/>
        <v>3.3173590569593211E-3</v>
      </c>
      <c r="H422" s="199">
        <f t="shared" si="193"/>
        <v>0.21175049590510048</v>
      </c>
      <c r="I422" s="217">
        <v>359481.11</v>
      </c>
      <c r="J422" s="170">
        <v>350000</v>
      </c>
      <c r="K422" s="170">
        <f t="shared" si="194"/>
        <v>-2181.7000000000116</v>
      </c>
      <c r="L422" s="168">
        <f t="shared" si="203"/>
        <v>-6.0324145576372964E-3</v>
      </c>
      <c r="M422" s="178">
        <f t="shared" si="178"/>
        <v>9481.109999999986</v>
      </c>
      <c r="N422" s="180">
        <f t="shared" si="189"/>
        <v>2.7088885714285676E-2</v>
      </c>
      <c r="O422" s="179">
        <f t="shared" si="192"/>
        <v>1.5508174776085961E-2</v>
      </c>
      <c r="P422" s="178" t="b">
        <f t="shared" si="180"/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si="195"/>
        <v>87040.109999999986</v>
      </c>
      <c r="T422" s="170">
        <v>-31956</v>
      </c>
      <c r="U422" s="170">
        <f t="shared" si="196"/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199"/>
        <v>0.54495614787794711</v>
      </c>
      <c r="Y422" s="171">
        <f t="shared" si="200"/>
        <v>4.8055464194054549E-2</v>
      </c>
      <c r="Z422" s="784">
        <f t="shared" si="201"/>
        <v>-0.11476058442517133</v>
      </c>
    </row>
    <row r="423" spans="1:26" ht="20.100000000000001" customHeight="1" x14ac:dyDescent="0.25">
      <c r="A423" s="160">
        <f t="shared" si="188"/>
        <v>639</v>
      </c>
      <c r="B423" s="169">
        <v>42872</v>
      </c>
      <c r="C423" s="211">
        <v>2357.0300000000002</v>
      </c>
      <c r="D423" s="168">
        <f t="shared" si="204"/>
        <v>-1.8178258569482634E-2</v>
      </c>
      <c r="E423" s="205">
        <f t="shared" si="175"/>
        <v>0.12109263522383523</v>
      </c>
      <c r="F423" s="215">
        <v>6011.23</v>
      </c>
      <c r="G423" s="168">
        <f t="shared" si="202"/>
        <v>-2.5712049038310422E-2</v>
      </c>
      <c r="H423" s="199">
        <f t="shared" si="193"/>
        <v>0.18059390773219156</v>
      </c>
      <c r="I423" s="217">
        <v>358002.43</v>
      </c>
      <c r="J423" s="170">
        <v>350000</v>
      </c>
      <c r="K423" s="170">
        <f t="shared" si="194"/>
        <v>-1478.679999999993</v>
      </c>
      <c r="L423" s="168">
        <f t="shared" si="203"/>
        <v>-4.1133733007556175E-3</v>
      </c>
      <c r="M423" s="178">
        <f t="shared" si="178"/>
        <v>8002.429999999993</v>
      </c>
      <c r="N423" s="180">
        <f t="shared" si="189"/>
        <v>2.2864085714285696E-2</v>
      </c>
      <c r="O423" s="179">
        <f t="shared" si="192"/>
        <v>1.3069025519785369E-2</v>
      </c>
      <c r="P423" s="178" t="b">
        <f t="shared" si="180"/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si="195"/>
        <v>80759.080000000016</v>
      </c>
      <c r="T423" s="170">
        <v>-31003</v>
      </c>
      <c r="U423" s="170">
        <f t="shared" si="196"/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199"/>
        <v>0.4628944720608214</v>
      </c>
      <c r="Y423" s="171">
        <f t="shared" si="200"/>
        <v>4.0543061240968153E-2</v>
      </c>
      <c r="Z423" s="784">
        <f t="shared" si="201"/>
        <v>-9.822854950954954E-2</v>
      </c>
    </row>
    <row r="424" spans="1:26" ht="20.100000000000001" customHeight="1" x14ac:dyDescent="0.25">
      <c r="A424" s="160">
        <f t="shared" si="188"/>
        <v>640</v>
      </c>
      <c r="B424" s="169">
        <v>42873</v>
      </c>
      <c r="C424" s="211">
        <v>2365.7199999999998</v>
      </c>
      <c r="D424" s="168">
        <f t="shared" si="204"/>
        <v>3.686843188249449E-3</v>
      </c>
      <c r="E424" s="205">
        <f t="shared" si="175"/>
        <v>0.12522592796940685</v>
      </c>
      <c r="F424" s="215">
        <v>6055.13</v>
      </c>
      <c r="G424" s="168">
        <f t="shared" si="202"/>
        <v>7.3029978889512714E-3</v>
      </c>
      <c r="H424" s="199">
        <f t="shared" si="193"/>
        <v>0.18921578254806848</v>
      </c>
      <c r="I424" s="217">
        <v>358058.63</v>
      </c>
      <c r="J424" s="170">
        <v>350000</v>
      </c>
      <c r="K424" s="170">
        <f t="shared" si="194"/>
        <v>56.200000000011642</v>
      </c>
      <c r="L424" s="168">
        <f t="shared" si="203"/>
        <v>1.5698217467409827E-4</v>
      </c>
      <c r="M424" s="178">
        <f t="shared" si="178"/>
        <v>8058.6300000000047</v>
      </c>
      <c r="N424" s="180">
        <f t="shared" si="189"/>
        <v>2.3024657142857157E-2</v>
      </c>
      <c r="O424" s="179">
        <f t="shared" si="192"/>
        <v>1.3140243783482152E-2</v>
      </c>
      <c r="P424" s="178" t="b">
        <f t="shared" si="180"/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si="195"/>
        <v>80128.429999999993</v>
      </c>
      <c r="T424" s="170">
        <v>-30899</v>
      </c>
      <c r="U424" s="170">
        <f t="shared" si="196"/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199"/>
        <v>0.47844250275531547</v>
      </c>
      <c r="Y424" s="171">
        <f t="shared" si="200"/>
        <v>4.0812484616006534E-2</v>
      </c>
      <c r="Z424" s="784">
        <f t="shared" si="201"/>
        <v>-0.10220127082654969</v>
      </c>
    </row>
    <row r="425" spans="1:26" ht="20.100000000000001" customHeight="1" x14ac:dyDescent="0.25">
      <c r="A425" s="160">
        <f t="shared" si="188"/>
        <v>641</v>
      </c>
      <c r="B425" s="169">
        <v>42874</v>
      </c>
      <c r="C425" s="211">
        <v>2381.73</v>
      </c>
      <c r="D425" s="168">
        <f t="shared" si="204"/>
        <v>6.7674957306867334E-3</v>
      </c>
      <c r="E425" s="205">
        <f t="shared" si="175"/>
        <v>0.13284088963299784</v>
      </c>
      <c r="F425" s="215">
        <v>6083.7</v>
      </c>
      <c r="G425" s="168">
        <f t="shared" si="202"/>
        <v>4.7183132319206537E-3</v>
      </c>
      <c r="H425" s="199">
        <f t="shared" si="193"/>
        <v>0.19482687511047392</v>
      </c>
      <c r="I425" s="217">
        <v>363364.53</v>
      </c>
      <c r="J425" s="170">
        <v>350000</v>
      </c>
      <c r="K425" s="170">
        <f t="shared" si="194"/>
        <v>5305.9000000000233</v>
      </c>
      <c r="L425" s="168">
        <f t="shared" si="203"/>
        <v>1.4818522877105415E-2</v>
      </c>
      <c r="M425" s="178">
        <f t="shared" si="178"/>
        <v>13364.530000000028</v>
      </c>
      <c r="N425" s="180">
        <f t="shared" si="189"/>
        <v>3.8184371428571506E-2</v>
      </c>
      <c r="O425" s="179">
        <f t="shared" si="192"/>
        <v>2.1757943314018317E-2</v>
      </c>
      <c r="P425" s="178" t="b">
        <f t="shared" si="180"/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si="195"/>
        <v>99391.830000000016</v>
      </c>
      <c r="T425" s="170">
        <v>-29778</v>
      </c>
      <c r="U425" s="170">
        <f t="shared" si="196"/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199"/>
        <v>0.50706450872402442</v>
      </c>
      <c r="Y425" s="171">
        <f t="shared" si="200"/>
        <v>6.7618445378340095E-2</v>
      </c>
      <c r="Z425" s="784">
        <f t="shared" si="201"/>
        <v>-9.4656518204426332E-2</v>
      </c>
    </row>
    <row r="426" spans="1:26" ht="20.100000000000001" customHeight="1" x14ac:dyDescent="0.25">
      <c r="A426" s="160">
        <f t="shared" si="188"/>
        <v>644</v>
      </c>
      <c r="B426" s="238">
        <v>42877</v>
      </c>
      <c r="C426" s="327">
        <v>2394.02</v>
      </c>
      <c r="D426" s="168">
        <f t="shared" si="204"/>
        <v>5.1601147065368294E-3</v>
      </c>
      <c r="E426" s="240">
        <f t="shared" ref="E426:E489" si="205">(C426-$C$2)/$C$2</f>
        <v>0.13868647856775931</v>
      </c>
      <c r="F426" s="241">
        <v>6133.61</v>
      </c>
      <c r="G426" s="168">
        <f t="shared" si="202"/>
        <v>8.2038890806581284E-3</v>
      </c>
      <c r="H426" s="242">
        <f t="shared" ref="H426:H457" si="206">(F426-F$2)/F$2</f>
        <v>0.20462910226446959</v>
      </c>
      <c r="I426" s="539">
        <v>362670.23</v>
      </c>
      <c r="J426" s="244">
        <v>350000</v>
      </c>
      <c r="K426" s="244">
        <f t="shared" ref="K426:K457" si="207">I426-I425-J426+J425</f>
        <v>-694.30000000004657</v>
      </c>
      <c r="L426" s="168">
        <f t="shared" si="203"/>
        <v>-1.9107533693507358E-3</v>
      </c>
      <c r="M426" s="572">
        <f t="shared" ref="M426:M489" si="208">I426-J426</f>
        <v>12670.229999999981</v>
      </c>
      <c r="N426" s="246">
        <f t="shared" si="189"/>
        <v>3.6200657142857091E-2</v>
      </c>
      <c r="O426" s="179">
        <f t="shared" si="192"/>
        <v>2.0531506244454274E-2</v>
      </c>
      <c r="P426" s="245" t="b">
        <f t="shared" ref="P426:P489" si="209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:S457" si="210">I426-R426</f>
        <v>99391.829999999958</v>
      </c>
      <c r="T426" s="244">
        <v>-30076</v>
      </c>
      <c r="U426" s="244">
        <f t="shared" ref="U426:U446" si="211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199"/>
        <v>0.52737165886067983</v>
      </c>
      <c r="Y426" s="171">
        <f t="shared" si="200"/>
        <v>6.388146047577066E-2</v>
      </c>
      <c r="Z426" s="784">
        <f t="shared" si="201"/>
        <v>-0.10248582142490223</v>
      </c>
    </row>
    <row r="427" spans="1:26" ht="20.100000000000001" customHeight="1" x14ac:dyDescent="0.25">
      <c r="A427" s="160">
        <f t="shared" si="188"/>
        <v>645</v>
      </c>
      <c r="B427" s="238">
        <v>42878</v>
      </c>
      <c r="C427" s="327">
        <v>2398.42</v>
      </c>
      <c r="D427" s="168">
        <f>(C427-C426)/C426</f>
        <v>1.837912799391856E-3</v>
      </c>
      <c r="E427" s="240">
        <f t="shared" si="205"/>
        <v>0.14077928502121345</v>
      </c>
      <c r="F427" s="241">
        <v>6138.71</v>
      </c>
      <c r="G427" s="168">
        <f t="shared" si="202"/>
        <v>8.3148423196133497E-4</v>
      </c>
      <c r="H427" s="242">
        <f t="shared" si="206"/>
        <v>0.20563073236836424</v>
      </c>
      <c r="I427" s="539">
        <v>362550.99</v>
      </c>
      <c r="J427" s="244">
        <v>350000</v>
      </c>
      <c r="K427" s="244">
        <f t="shared" si="207"/>
        <v>-119.23999999999069</v>
      </c>
      <c r="L427" s="168">
        <f t="shared" si="203"/>
        <v>-3.2878353428675603E-4</v>
      </c>
      <c r="M427" s="572">
        <f t="shared" si="208"/>
        <v>12550.989999999991</v>
      </c>
      <c r="N427" s="246">
        <f t="shared" si="189"/>
        <v>3.5859971428571405E-2</v>
      </c>
      <c r="O427" s="179">
        <f t="shared" si="192"/>
        <v>2.0306751262458459E-2</v>
      </c>
      <c r="P427" s="245" t="b">
        <f t="shared" si="209"/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si="210"/>
        <v>99392.390000000014</v>
      </c>
      <c r="T427" s="244">
        <v>-30424</v>
      </c>
      <c r="U427" s="244">
        <f t="shared" si="211"/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199"/>
        <v>0.53511543731372224</v>
      </c>
      <c r="Y427" s="171">
        <f t="shared" si="200"/>
        <v>6.3256676160937969E-2</v>
      </c>
      <c r="Z427" s="784">
        <f t="shared" si="201"/>
        <v>-0.10491931359264205</v>
      </c>
    </row>
    <row r="428" spans="1:26" ht="20.100000000000001" customHeight="1" x14ac:dyDescent="0.25">
      <c r="A428" s="160">
        <f t="shared" si="188"/>
        <v>646</v>
      </c>
      <c r="B428" s="238">
        <v>42879</v>
      </c>
      <c r="C428" s="327">
        <v>2404.39</v>
      </c>
      <c r="D428" s="168">
        <f>(C428-C427)/C427</f>
        <v>2.4891386829662028E-3</v>
      </c>
      <c r="E428" s="240">
        <f t="shared" si="205"/>
        <v>0.14361884286828627</v>
      </c>
      <c r="F428" s="241">
        <v>6163.02</v>
      </c>
      <c r="G428" s="168">
        <f t="shared" si="202"/>
        <v>3.9601153988379316E-3</v>
      </c>
      <c r="H428" s="242">
        <f t="shared" si="206"/>
        <v>0.21040516919692848</v>
      </c>
      <c r="I428" s="539">
        <v>361217.77</v>
      </c>
      <c r="J428" s="244">
        <v>350000</v>
      </c>
      <c r="K428" s="244">
        <f t="shared" si="207"/>
        <v>-1333.2199999999721</v>
      </c>
      <c r="L428" s="168">
        <f t="shared" si="203"/>
        <v>-3.6773310148731689E-3</v>
      </c>
      <c r="M428" s="572">
        <f t="shared" si="208"/>
        <v>11217.770000000019</v>
      </c>
      <c r="N428" s="246">
        <f t="shared" si="189"/>
        <v>3.2050771428571483E-2</v>
      </c>
      <c r="O428" s="179">
        <f t="shared" si="192"/>
        <v>1.8121585548429929E-2</v>
      </c>
      <c r="P428" s="245" t="b">
        <f t="shared" si="209"/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si="210"/>
        <v>96213.270000000019</v>
      </c>
      <c r="T428" s="244">
        <v>-30852</v>
      </c>
      <c r="U428" s="244">
        <f t="shared" si="211"/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199"/>
        <v>0.54567295678831784</v>
      </c>
      <c r="Y428" s="171">
        <f t="shared" si="200"/>
        <v>5.651346110119778E-2</v>
      </c>
      <c r="Z428" s="784">
        <f t="shared" si="201"/>
        <v>-0.11156807143971478</v>
      </c>
    </row>
    <row r="429" spans="1:26" ht="20.100000000000001" customHeight="1" x14ac:dyDescent="0.25">
      <c r="A429" s="160">
        <f t="shared" si="188"/>
        <v>647</v>
      </c>
      <c r="B429" s="238">
        <v>42880</v>
      </c>
      <c r="C429" s="327">
        <v>2415.0700000000002</v>
      </c>
      <c r="D429" s="168">
        <f>(C429-C428)/C428</f>
        <v>4.4418750701842426E-3</v>
      </c>
      <c r="E429" s="240">
        <f t="shared" si="205"/>
        <v>0.14869865489621586</v>
      </c>
      <c r="F429" s="241">
        <v>6205.25</v>
      </c>
      <c r="G429" s="168">
        <f t="shared" si="202"/>
        <v>6.8521601422678428E-3</v>
      </c>
      <c r="H429" s="242">
        <f t="shared" si="206"/>
        <v>0.21869905925329461</v>
      </c>
      <c r="I429" s="539">
        <v>353000.67</v>
      </c>
      <c r="J429" s="244">
        <v>350000</v>
      </c>
      <c r="K429" s="244">
        <f t="shared" si="207"/>
        <v>-8217.1000000000349</v>
      </c>
      <c r="L429" s="168">
        <f t="shared" si="203"/>
        <v>-2.2748327137947933E-2</v>
      </c>
      <c r="M429" s="572">
        <f t="shared" si="208"/>
        <v>3000.6699999999837</v>
      </c>
      <c r="N429" s="246">
        <f t="shared" si="189"/>
        <v>8.573342857142811E-3</v>
      </c>
      <c r="O429" s="179">
        <f t="shared" si="192"/>
        <v>4.8398971848089825E-3</v>
      </c>
      <c r="P429" s="245" t="b">
        <f t="shared" si="209"/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si="210"/>
        <v>88102.469999999972</v>
      </c>
      <c r="T429" s="244">
        <v>-32794</v>
      </c>
      <c r="U429" s="244">
        <f t="shared" si="211"/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199"/>
        <v>0.56463778385278085</v>
      </c>
      <c r="Y429" s="171">
        <f t="shared" si="200"/>
        <v>1.5087903653219875E-2</v>
      </c>
      <c r="Z429" s="784">
        <f t="shared" si="201"/>
        <v>-0.14012531203907305</v>
      </c>
    </row>
    <row r="430" spans="1:26" ht="20.100000000000001" customHeight="1" x14ac:dyDescent="0.25">
      <c r="A430" s="160">
        <f t="shared" si="188"/>
        <v>648</v>
      </c>
      <c r="B430" s="238">
        <v>42881</v>
      </c>
      <c r="C430" s="327">
        <v>2415.8200000000002</v>
      </c>
      <c r="D430" s="168">
        <f t="shared" ref="D430:D441" si="212">(C430-C429)/C429</f>
        <v>3.105500047617667E-4</v>
      </c>
      <c r="E430" s="240">
        <f t="shared" si="205"/>
        <v>0.14905538326896373</v>
      </c>
      <c r="F430" s="241">
        <v>6210.19</v>
      </c>
      <c r="G430" s="168">
        <f t="shared" si="202"/>
        <v>7.9610007654801977E-4</v>
      </c>
      <c r="H430" s="242">
        <f t="shared" si="206"/>
        <v>0.21966926566765516</v>
      </c>
      <c r="I430" s="539">
        <v>353471.67</v>
      </c>
      <c r="J430" s="244">
        <v>350000</v>
      </c>
      <c r="K430" s="244">
        <f t="shared" si="207"/>
        <v>471</v>
      </c>
      <c r="L430" s="168">
        <f t="shared" si="203"/>
        <v>1.3342750879198049E-3</v>
      </c>
      <c r="M430" s="572">
        <f t="shared" si="208"/>
        <v>3471.6699999999837</v>
      </c>
      <c r="N430" s="246">
        <f t="shared" si="189"/>
        <v>9.9190571428570962E-3</v>
      </c>
      <c r="O430" s="179">
        <f t="shared" si="192"/>
        <v>5.5909500330687568E-3</v>
      </c>
      <c r="P430" s="245" t="b">
        <f t="shared" si="209"/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si="210"/>
        <v>88108.469999999972</v>
      </c>
      <c r="T430" s="244">
        <v>-33110</v>
      </c>
      <c r="U430" s="244">
        <f t="shared" si="211"/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199"/>
        <v>0.56578177709905297</v>
      </c>
      <c r="Y430" s="171">
        <f t="shared" si="200"/>
        <v>1.7449641035343473E-2</v>
      </c>
      <c r="Z430" s="784">
        <f t="shared" si="201"/>
        <v>-0.13913632612610663</v>
      </c>
    </row>
    <row r="431" spans="1:26" ht="20.100000000000001" customHeight="1" x14ac:dyDescent="0.25">
      <c r="A431" s="160">
        <f t="shared" si="188"/>
        <v>652</v>
      </c>
      <c r="B431" s="169">
        <v>42885</v>
      </c>
      <c r="C431" s="211">
        <v>2412.91</v>
      </c>
      <c r="D431" s="168">
        <f t="shared" si="212"/>
        <v>-1.204559942379941E-3</v>
      </c>
      <c r="E431" s="205">
        <f t="shared" si="205"/>
        <v>0.1476712771827019</v>
      </c>
      <c r="F431" s="215">
        <v>6203.18</v>
      </c>
      <c r="G431" s="168">
        <f t="shared" si="202"/>
        <v>-1.1287899404042886E-3</v>
      </c>
      <c r="H431" s="199">
        <f t="shared" si="206"/>
        <v>0.21829251526994922</v>
      </c>
      <c r="I431" s="217">
        <v>350229.07</v>
      </c>
      <c r="J431" s="170">
        <v>350000</v>
      </c>
      <c r="K431" s="170">
        <f t="shared" si="207"/>
        <v>-3242.5999999999767</v>
      </c>
      <c r="L431" s="168">
        <f t="shared" si="203"/>
        <v>-9.1735781823759077E-3</v>
      </c>
      <c r="M431" s="178">
        <f t="shared" si="208"/>
        <v>229.07000000000698</v>
      </c>
      <c r="N431" s="180">
        <f t="shared" si="189"/>
        <v>6.5448571428573419E-4</v>
      </c>
      <c r="O431" s="179">
        <f t="shared" si="192"/>
        <v>3.6664249561789024E-4</v>
      </c>
      <c r="P431" s="178" t="b">
        <f t="shared" si="209"/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si="210"/>
        <v>88108.47</v>
      </c>
      <c r="T431" s="170">
        <v>-35019</v>
      </c>
      <c r="U431" s="170">
        <f t="shared" si="211"/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199"/>
        <v>0.55772271877139357</v>
      </c>
      <c r="Y431" s="171">
        <f t="shared" si="200"/>
        <v>1.1453461069866381E-3</v>
      </c>
      <c r="Z431" s="784">
        <f t="shared" si="201"/>
        <v>-0.14701679146841617</v>
      </c>
    </row>
    <row r="432" spans="1:26" ht="20.100000000000001" customHeight="1" x14ac:dyDescent="0.25">
      <c r="A432" s="160">
        <f t="shared" si="188"/>
        <v>653</v>
      </c>
      <c r="B432" s="169">
        <v>42886</v>
      </c>
      <c r="C432" s="211">
        <v>2411.8000000000002</v>
      </c>
      <c r="D432" s="168">
        <f t="shared" si="212"/>
        <v>-4.6002544645248791E-4</v>
      </c>
      <c r="E432" s="205">
        <f t="shared" si="205"/>
        <v>0.14714331919103524</v>
      </c>
      <c r="F432" s="215">
        <v>6198.51</v>
      </c>
      <c r="G432" s="168">
        <f t="shared" si="202"/>
        <v>-7.5283967255505607E-4</v>
      </c>
      <c r="H432" s="199">
        <f t="shared" si="206"/>
        <v>0.21737533633167713</v>
      </c>
      <c r="I432" s="406">
        <v>349203.17</v>
      </c>
      <c r="J432" s="170">
        <v>350000</v>
      </c>
      <c r="K432" s="170">
        <f t="shared" si="207"/>
        <v>-1025.9000000000233</v>
      </c>
      <c r="L432" s="168">
        <f t="shared" si="203"/>
        <v>-2.9292257207547715E-3</v>
      </c>
      <c r="M432" s="406">
        <f t="shared" si="208"/>
        <v>-796.8300000000163</v>
      </c>
      <c r="N432" s="180">
        <f t="shared" si="189"/>
        <v>-2.2766571428571893E-3</v>
      </c>
      <c r="O432" s="179">
        <f t="shared" si="192"/>
        <v>-1.2734288230146836E-3</v>
      </c>
      <c r="P432" s="178" t="b">
        <f t="shared" si="209"/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si="210"/>
        <v>84038.07</v>
      </c>
      <c r="T432" s="170">
        <v>-35731</v>
      </c>
      <c r="U432" s="170">
        <f t="shared" si="211"/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199"/>
        <v>0.55552049614459997</v>
      </c>
      <c r="Y432" s="171">
        <f t="shared" si="200"/>
        <v>-3.9825524274986817E-3</v>
      </c>
      <c r="Z432" s="784">
        <f t="shared" si="201"/>
        <v>-0.14941997633389242</v>
      </c>
    </row>
    <row r="433" spans="1:26" ht="20.100000000000001" customHeight="1" x14ac:dyDescent="0.25">
      <c r="A433" s="160">
        <f t="shared" si="188"/>
        <v>654</v>
      </c>
      <c r="B433" s="169">
        <v>42887</v>
      </c>
      <c r="C433" s="211">
        <v>2430.06</v>
      </c>
      <c r="D433" s="168">
        <f t="shared" si="212"/>
        <v>7.5711087154821137E-3</v>
      </c>
      <c r="E433" s="205">
        <f t="shared" si="205"/>
        <v>0.15582846597286956</v>
      </c>
      <c r="F433" s="215">
        <v>6246.83</v>
      </c>
      <c r="G433" s="168">
        <f t="shared" si="202"/>
        <v>7.7954218029816372E-3</v>
      </c>
      <c r="H433" s="199">
        <f t="shared" si="206"/>
        <v>0.22686529057092919</v>
      </c>
      <c r="I433" s="217">
        <v>353722.21</v>
      </c>
      <c r="J433" s="170">
        <v>350000</v>
      </c>
      <c r="K433" s="170">
        <f t="shared" si="207"/>
        <v>4519.0400000000373</v>
      </c>
      <c r="L433" s="168">
        <f t="shared" si="203"/>
        <v>1.2941005088814163E-2</v>
      </c>
      <c r="M433" s="178">
        <f t="shared" si="208"/>
        <v>3722.210000000021</v>
      </c>
      <c r="N433" s="180">
        <f t="shared" si="189"/>
        <v>1.0634885714285775E-2</v>
      </c>
      <c r="O433" s="179">
        <f t="shared" si="192"/>
        <v>5.9394373197903354E-3</v>
      </c>
      <c r="P433" s="178" t="b">
        <f t="shared" si="209"/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si="210"/>
        <v>84175.31</v>
      </c>
      <c r="T433" s="170">
        <v>-33352</v>
      </c>
      <c r="U433" s="170">
        <f t="shared" si="211"/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199"/>
        <v>0.58768729187644464</v>
      </c>
      <c r="Y433" s="171">
        <f t="shared" si="200"/>
        <v>1.8588404187842304E-2</v>
      </c>
      <c r="Z433" s="784">
        <f t="shared" si="201"/>
        <v>-0.14519358025858378</v>
      </c>
    </row>
    <row r="434" spans="1:26" ht="20.100000000000001" customHeight="1" x14ac:dyDescent="0.25">
      <c r="A434" s="160">
        <f t="shared" si="188"/>
        <v>655</v>
      </c>
      <c r="B434" s="169">
        <v>42888</v>
      </c>
      <c r="C434" s="211">
        <v>2439.0700000000002</v>
      </c>
      <c r="D434" s="168">
        <f t="shared" si="212"/>
        <v>3.7077273812170146E-3</v>
      </c>
      <c r="E434" s="205">
        <f t="shared" si="205"/>
        <v>0.16011396282414722</v>
      </c>
      <c r="F434" s="215">
        <v>6305.79</v>
      </c>
      <c r="G434" s="168">
        <f t="shared" si="202"/>
        <v>9.4383871499624673E-3</v>
      </c>
      <c r="H434" s="199">
        <f t="shared" si="206"/>
        <v>0.23844492016418881</v>
      </c>
      <c r="I434" s="217">
        <v>351458.31</v>
      </c>
      <c r="J434" s="170">
        <v>350000</v>
      </c>
      <c r="K434" s="170">
        <f t="shared" si="207"/>
        <v>-2263.9000000000233</v>
      </c>
      <c r="L434" s="168">
        <f t="shared" si="203"/>
        <v>-6.4002201049236434E-3</v>
      </c>
      <c r="M434" s="178">
        <f t="shared" si="208"/>
        <v>1458.3099999999977</v>
      </c>
      <c r="N434" s="180">
        <f t="shared" si="189"/>
        <v>4.1665999999999934E-3</v>
      </c>
      <c r="O434" s="179">
        <f t="shared" si="192"/>
        <v>2.3234361068702252E-3</v>
      </c>
      <c r="P434" s="178" t="b">
        <f t="shared" si="209"/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si="210"/>
        <v>69130.909999999974</v>
      </c>
      <c r="T434" s="170">
        <v>-36002</v>
      </c>
      <c r="U434" s="170">
        <f t="shared" si="211"/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199"/>
        <v>0.60353913817886917</v>
      </c>
      <c r="Y434" s="171">
        <f t="shared" si="200"/>
        <v>7.2790368057027996E-3</v>
      </c>
      <c r="Z434" s="784">
        <f t="shared" si="201"/>
        <v>-0.15594736282414723</v>
      </c>
    </row>
    <row r="435" spans="1:26" ht="20.100000000000001" customHeight="1" x14ac:dyDescent="0.25">
      <c r="A435" s="160">
        <f t="shared" si="188"/>
        <v>658</v>
      </c>
      <c r="B435" s="238">
        <v>42891</v>
      </c>
      <c r="C435" s="327">
        <v>2436.1</v>
      </c>
      <c r="D435" s="168">
        <f t="shared" si="212"/>
        <v>-1.217677229435914E-3</v>
      </c>
      <c r="E435" s="240">
        <f t="shared" si="205"/>
        <v>0.15870131846806559</v>
      </c>
      <c r="F435" s="241">
        <v>6295.68</v>
      </c>
      <c r="G435" s="168">
        <f t="shared" si="202"/>
        <v>-1.6032884063693325E-3</v>
      </c>
      <c r="H435" s="242">
        <f t="shared" si="206"/>
        <v>0.23645933578176256</v>
      </c>
      <c r="I435" s="539">
        <v>351519.71</v>
      </c>
      <c r="J435" s="244">
        <v>350000</v>
      </c>
      <c r="K435" s="244">
        <f t="shared" si="207"/>
        <v>61.400000000023283</v>
      </c>
      <c r="L435" s="168">
        <f t="shared" si="203"/>
        <v>1.7470066364350093E-4</v>
      </c>
      <c r="M435" s="572">
        <f t="shared" si="208"/>
        <v>1519.710000000021</v>
      </c>
      <c r="N435" s="246">
        <f t="shared" si="189"/>
        <v>4.3420285714286314E-3</v>
      </c>
      <c r="O435" s="179">
        <f t="shared" si="192"/>
        <v>2.4102217867998598E-3</v>
      </c>
      <c r="P435" s="245" t="b">
        <f t="shared" si="209"/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si="210"/>
        <v>69130.910000000033</v>
      </c>
      <c r="T435" s="244">
        <v>-35772</v>
      </c>
      <c r="U435" s="244">
        <f t="shared" si="211"/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199"/>
        <v>0.59615680599333642</v>
      </c>
      <c r="Y435" s="171">
        <f t="shared" si="200"/>
        <v>7.5596790085981523E-3</v>
      </c>
      <c r="Z435" s="784">
        <f t="shared" si="201"/>
        <v>-0.15435928989663697</v>
      </c>
    </row>
    <row r="436" spans="1:26" ht="20.100000000000001" customHeight="1" x14ac:dyDescent="0.25">
      <c r="A436" s="160">
        <f t="shared" si="188"/>
        <v>659</v>
      </c>
      <c r="B436" s="238">
        <v>42892</v>
      </c>
      <c r="C436" s="327">
        <v>2429.33</v>
      </c>
      <c r="D436" s="168">
        <f t="shared" si="212"/>
        <v>-2.7790320594392602E-3</v>
      </c>
      <c r="E436" s="240">
        <f t="shared" si="205"/>
        <v>0.1554812503567283</v>
      </c>
      <c r="F436" s="241">
        <v>6275.02</v>
      </c>
      <c r="G436" s="168">
        <f t="shared" si="202"/>
        <v>-3.2816153298769715E-3</v>
      </c>
      <c r="H436" s="242">
        <f t="shared" si="206"/>
        <v>0.23240175187069165</v>
      </c>
      <c r="I436" s="539">
        <v>351863.31</v>
      </c>
      <c r="J436" s="244">
        <v>350000</v>
      </c>
      <c r="K436" s="244">
        <f t="shared" si="207"/>
        <v>343.59999999997672</v>
      </c>
      <c r="L436" s="168">
        <f t="shared" si="203"/>
        <v>9.7747008268747344E-4</v>
      </c>
      <c r="M436" s="572">
        <f t="shared" si="208"/>
        <v>1863.3099999999977</v>
      </c>
      <c r="N436" s="246">
        <f t="shared" si="189"/>
        <v>5.3237428571428509E-3</v>
      </c>
      <c r="O436" s="179">
        <f t="shared" si="192"/>
        <v>2.9506784196834997E-3</v>
      </c>
      <c r="P436" s="245" t="b">
        <f t="shared" si="209"/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si="210"/>
        <v>65808.909999999974</v>
      </c>
      <c r="T436" s="244">
        <v>-34862</v>
      </c>
      <c r="U436" s="244">
        <f t="shared" si="211"/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199"/>
        <v>0.58377121480445904</v>
      </c>
      <c r="Y436" s="171">
        <f t="shared" si="200"/>
        <v>9.2655223761011294E-3</v>
      </c>
      <c r="Z436" s="784">
        <f t="shared" si="201"/>
        <v>-0.15015750749958545</v>
      </c>
    </row>
    <row r="437" spans="1:26" ht="20.100000000000001" customHeight="1" x14ac:dyDescent="0.25">
      <c r="A437" s="160">
        <f t="shared" si="188"/>
        <v>660</v>
      </c>
      <c r="B437" s="238">
        <v>42893</v>
      </c>
      <c r="C437" s="327">
        <v>2433.14</v>
      </c>
      <c r="D437" s="168">
        <f t="shared" si="212"/>
        <v>1.5683336557816129E-3</v>
      </c>
      <c r="E437" s="240">
        <f t="shared" si="205"/>
        <v>0.15729343049028738</v>
      </c>
      <c r="F437" s="241">
        <v>6297.38</v>
      </c>
      <c r="G437" s="168">
        <f t="shared" si="202"/>
        <v>3.5633352563019197E-3</v>
      </c>
      <c r="H437" s="242">
        <f t="shared" si="206"/>
        <v>0.23679321248306073</v>
      </c>
      <c r="I437" s="539">
        <v>346982.81</v>
      </c>
      <c r="J437" s="244">
        <v>350000</v>
      </c>
      <c r="K437" s="244">
        <f t="shared" si="207"/>
        <v>-4880.5</v>
      </c>
      <c r="L437" s="168">
        <f t="shared" si="203"/>
        <v>-1.3870443042214319E-2</v>
      </c>
      <c r="M437" s="572">
        <f t="shared" si="208"/>
        <v>-3017.1900000000023</v>
      </c>
      <c r="N437" s="246">
        <f t="shared" si="189"/>
        <v>-8.6205428571428638E-3</v>
      </c>
      <c r="O437" s="179">
        <f t="shared" si="192"/>
        <v>-4.7706867857142893E-3</v>
      </c>
      <c r="P437" s="245" t="b">
        <f t="shared" si="209"/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si="210"/>
        <v>65808.909999999974</v>
      </c>
      <c r="T437" s="244">
        <v>-40512</v>
      </c>
      <c r="U437" s="244">
        <f t="shared" si="211"/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199"/>
        <v>0.59034978233997903</v>
      </c>
      <c r="Y437" s="171">
        <f t="shared" si="200"/>
        <v>-1.4989123442539961E-2</v>
      </c>
      <c r="Z437" s="784">
        <f t="shared" si="201"/>
        <v>-0.16591397334743024</v>
      </c>
    </row>
    <row r="438" spans="1:26" ht="20.100000000000001" customHeight="1" x14ac:dyDescent="0.25">
      <c r="A438" s="160">
        <f t="shared" si="188"/>
        <v>661</v>
      </c>
      <c r="B438" s="238">
        <v>42894</v>
      </c>
      <c r="C438" s="327">
        <v>2433.79</v>
      </c>
      <c r="D438" s="168">
        <f t="shared" si="212"/>
        <v>2.6714451285174342E-4</v>
      </c>
      <c r="E438" s="240">
        <f t="shared" si="205"/>
        <v>0.15760259508000224</v>
      </c>
      <c r="F438" s="241">
        <v>6321.76</v>
      </c>
      <c r="G438" s="168">
        <f t="shared" si="202"/>
        <v>3.8714513019700429E-3</v>
      </c>
      <c r="H438" s="242">
        <f t="shared" si="206"/>
        <v>0.24158139717579599</v>
      </c>
      <c r="I438" s="539">
        <v>347153.55</v>
      </c>
      <c r="J438" s="244">
        <v>350000</v>
      </c>
      <c r="K438" s="244">
        <f t="shared" si="207"/>
        <v>170.73999999999069</v>
      </c>
      <c r="L438" s="168">
        <f t="shared" si="203"/>
        <v>4.9207048614307637E-4</v>
      </c>
      <c r="M438" s="572">
        <f t="shared" si="208"/>
        <v>-2846.4500000000116</v>
      </c>
      <c r="N438" s="246">
        <f t="shared" si="189"/>
        <v>-8.1327142857143195E-3</v>
      </c>
      <c r="O438" s="179">
        <f t="shared" si="192"/>
        <v>-4.4939090663497052E-3</v>
      </c>
      <c r="P438" s="245" t="b">
        <f t="shared" si="209"/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si="210"/>
        <v>68658.849999999977</v>
      </c>
      <c r="T438" s="244">
        <v>-41692</v>
      </c>
      <c r="U438" s="244">
        <f t="shared" si="211"/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199"/>
        <v>0.59129520212629594</v>
      </c>
      <c r="Y438" s="171">
        <f t="shared" si="200"/>
        <v>-1.4135766451076353E-2</v>
      </c>
      <c r="Z438" s="784">
        <f t="shared" si="201"/>
        <v>-0.16573530936571657</v>
      </c>
    </row>
    <row r="439" spans="1:26" ht="20.100000000000001" customHeight="1" x14ac:dyDescent="0.25">
      <c r="A439" s="160">
        <f t="shared" si="188"/>
        <v>662</v>
      </c>
      <c r="B439" s="238">
        <v>42895</v>
      </c>
      <c r="C439" s="327">
        <v>2431.77</v>
      </c>
      <c r="D439" s="168">
        <f t="shared" si="212"/>
        <v>-8.2998122270203339E-4</v>
      </c>
      <c r="E439" s="240">
        <f t="shared" si="205"/>
        <v>0.15664180666273469</v>
      </c>
      <c r="F439" s="241">
        <v>6207.91</v>
      </c>
      <c r="G439" s="168">
        <f t="shared" si="202"/>
        <v>-1.8009225279036273E-2</v>
      </c>
      <c r="H439" s="242">
        <f t="shared" si="206"/>
        <v>0.21922147809179646</v>
      </c>
      <c r="I439" s="539">
        <v>354123.05</v>
      </c>
      <c r="J439" s="244">
        <v>350000</v>
      </c>
      <c r="K439" s="244">
        <f t="shared" si="207"/>
        <v>6969.5</v>
      </c>
      <c r="L439" s="168">
        <f t="shared" si="203"/>
        <v>2.0076130576800959E-2</v>
      </c>
      <c r="M439" s="572">
        <f t="shared" si="208"/>
        <v>4123.0499999999884</v>
      </c>
      <c r="N439" s="246">
        <f t="shared" si="189"/>
        <v>1.1780142857142824E-2</v>
      </c>
      <c r="O439" s="179">
        <f t="shared" si="192"/>
        <v>6.4995425658178497E-3</v>
      </c>
      <c r="P439" s="245" t="b">
        <f t="shared" si="209"/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si="210"/>
        <v>68658.849999999977</v>
      </c>
      <c r="T439" s="244">
        <v>-37482</v>
      </c>
      <c r="U439" s="244">
        <f t="shared" si="211"/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199"/>
        <v>0.5874654225106517</v>
      </c>
      <c r="Y439" s="171">
        <f t="shared" si="200"/>
        <v>2.0445392376987268E-2</v>
      </c>
      <c r="Z439" s="784">
        <f t="shared" si="201"/>
        <v>-0.14486166380559187</v>
      </c>
    </row>
    <row r="440" spans="1:26" ht="20.100000000000001" customHeight="1" x14ac:dyDescent="0.25">
      <c r="A440" s="160">
        <f t="shared" si="188"/>
        <v>665</v>
      </c>
      <c r="B440" s="169">
        <v>42898</v>
      </c>
      <c r="C440" s="211">
        <v>2429.39</v>
      </c>
      <c r="D440" s="168">
        <f t="shared" si="212"/>
        <v>-9.7871098006806125E-4</v>
      </c>
      <c r="E440" s="205">
        <f t="shared" si="205"/>
        <v>0.1555097886265481</v>
      </c>
      <c r="F440" s="215">
        <v>6208.91</v>
      </c>
      <c r="G440" s="168">
        <f t="shared" si="202"/>
        <v>1.6108480954137545E-4</v>
      </c>
      <c r="H440" s="199">
        <f t="shared" si="206"/>
        <v>0.21941787615138364</v>
      </c>
      <c r="I440" s="217">
        <v>354932.43</v>
      </c>
      <c r="J440" s="170">
        <v>350000</v>
      </c>
      <c r="K440" s="170">
        <f t="shared" si="207"/>
        <v>809.38000000000466</v>
      </c>
      <c r="L440" s="168">
        <f t="shared" si="203"/>
        <v>2.2855897123895343E-3</v>
      </c>
      <c r="M440" s="178">
        <f t="shared" si="208"/>
        <v>4932.429999999993</v>
      </c>
      <c r="N440" s="180">
        <f t="shared" si="189"/>
        <v>1.4092657142857123E-2</v>
      </c>
      <c r="O440" s="179">
        <f t="shared" si="192"/>
        <v>7.7403654457572401E-3</v>
      </c>
      <c r="P440" s="178" t="b">
        <f t="shared" si="209"/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si="210"/>
        <v>76262.679999999993</v>
      </c>
      <c r="T440" s="170">
        <v>-36662</v>
      </c>
      <c r="U440" s="170">
        <f t="shared" si="211"/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199"/>
        <v>0.58124008843652086</v>
      </c>
      <c r="Y440" s="171">
        <f t="shared" si="200"/>
        <v>2.43762740845248E-2</v>
      </c>
      <c r="Z440" s="784">
        <f t="shared" si="201"/>
        <v>-0.14141713148369098</v>
      </c>
    </row>
    <row r="441" spans="1:26" ht="20.100000000000001" customHeight="1" x14ac:dyDescent="0.25">
      <c r="A441" s="160">
        <f t="shared" si="188"/>
        <v>666</v>
      </c>
      <c r="B441" s="169">
        <v>42899</v>
      </c>
      <c r="C441" s="211">
        <v>2440.35</v>
      </c>
      <c r="D441" s="168">
        <f t="shared" si="212"/>
        <v>4.5114205623634071E-3</v>
      </c>
      <c r="E441" s="205">
        <f t="shared" si="205"/>
        <v>0.16072277924697012</v>
      </c>
      <c r="F441" s="215">
        <v>6220.36</v>
      </c>
      <c r="G441" s="168">
        <f t="shared" si="202"/>
        <v>1.8441240088839777E-3</v>
      </c>
      <c r="H441" s="199">
        <f t="shared" si="206"/>
        <v>0.22166663393365671</v>
      </c>
      <c r="I441" s="217">
        <v>359514.03</v>
      </c>
      <c r="J441" s="170">
        <v>350000</v>
      </c>
      <c r="K441" s="170">
        <f t="shared" si="207"/>
        <v>4581.6000000000349</v>
      </c>
      <c r="L441" s="168">
        <f t="shared" si="203"/>
        <v>1.29083724471163E-2</v>
      </c>
      <c r="M441" s="178">
        <f t="shared" si="208"/>
        <v>9514.0300000000279</v>
      </c>
      <c r="N441" s="180">
        <f t="shared" si="189"/>
        <v>2.7182942857142938E-2</v>
      </c>
      <c r="O441" s="179">
        <f t="shared" si="192"/>
        <v>1.4907762580437625E-2</v>
      </c>
      <c r="P441" s="178" t="b">
        <f t="shared" si="209"/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si="210"/>
        <v>76630.680000000051</v>
      </c>
      <c r="T441" s="170">
        <v>-33012</v>
      </c>
      <c r="U441" s="170">
        <f t="shared" si="211"/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199"/>
        <v>0.60037132201476762</v>
      </c>
      <c r="Y441" s="171">
        <f t="shared" si="200"/>
        <v>4.6980961972746108E-2</v>
      </c>
      <c r="Z441" s="784">
        <f t="shared" si="201"/>
        <v>-0.13353983638982719</v>
      </c>
    </row>
    <row r="442" spans="1:26" ht="20.100000000000001" customHeight="1" x14ac:dyDescent="0.25">
      <c r="A442" s="160">
        <f t="shared" si="188"/>
        <v>667</v>
      </c>
      <c r="B442" s="169">
        <v>42900</v>
      </c>
      <c r="C442" s="211">
        <v>2437.92</v>
      </c>
      <c r="D442" s="168">
        <f t="shared" ref="D442:D483" si="213">(C442-C441)/C441</f>
        <v>-9.9575880508936693E-4</v>
      </c>
      <c r="E442" s="205">
        <f t="shared" si="205"/>
        <v>0.15956697931926714</v>
      </c>
      <c r="F442" s="215">
        <v>6194.89</v>
      </c>
      <c r="G442" s="168">
        <f t="shared" ref="G442:G483" si="214">(F442-F441)/F441</f>
        <v>-4.0946183179107554E-3</v>
      </c>
      <c r="H442" s="199">
        <f t="shared" si="206"/>
        <v>0.21666437535597158</v>
      </c>
      <c r="I442" s="217">
        <v>355660.79999999999</v>
      </c>
      <c r="J442" s="170">
        <v>350000</v>
      </c>
      <c r="K442" s="170">
        <f t="shared" si="207"/>
        <v>-3853.2300000000396</v>
      </c>
      <c r="L442" s="168">
        <f t="shared" ref="L442:L483" si="215">K442/I441</f>
        <v>-1.0717884918149201E-2</v>
      </c>
      <c r="M442" s="178">
        <f t="shared" si="208"/>
        <v>5660.7999999999884</v>
      </c>
      <c r="N442" s="180">
        <f t="shared" si="189"/>
        <v>1.6173714285714253E-2</v>
      </c>
      <c r="O442" s="179">
        <f t="shared" si="192"/>
        <v>8.8567453416148901E-3</v>
      </c>
      <c r="P442" s="178" t="b">
        <f t="shared" si="209"/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si="210"/>
        <v>72064.549999999988</v>
      </c>
      <c r="T442" s="170">
        <v>-36382</v>
      </c>
      <c r="U442" s="170">
        <f t="shared" si="211"/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199"/>
        <v>0.59582421570657329</v>
      </c>
      <c r="Y442" s="171">
        <f t="shared" si="200"/>
        <v>2.7933421746418215E-2</v>
      </c>
      <c r="Z442" s="784">
        <f t="shared" si="201"/>
        <v>-0.14339326503355287</v>
      </c>
    </row>
    <row r="443" spans="1:26" ht="20.100000000000001" customHeight="1" x14ac:dyDescent="0.25">
      <c r="A443" s="160">
        <f t="shared" si="188"/>
        <v>668</v>
      </c>
      <c r="B443" s="169">
        <v>42901</v>
      </c>
      <c r="C443" s="211">
        <v>2432.46</v>
      </c>
      <c r="D443" s="168">
        <f t="shared" si="213"/>
        <v>-2.2396140972632556E-3</v>
      </c>
      <c r="E443" s="205">
        <f t="shared" si="205"/>
        <v>0.15696999676566273</v>
      </c>
      <c r="F443" s="215">
        <v>6165.5</v>
      </c>
      <c r="G443" s="168">
        <f t="shared" si="214"/>
        <v>-4.7442327466670634E-3</v>
      </c>
      <c r="H443" s="199">
        <f t="shared" si="206"/>
        <v>0.21089223638470456</v>
      </c>
      <c r="I443" s="217">
        <v>343648.95</v>
      </c>
      <c r="J443" s="170">
        <v>350000</v>
      </c>
      <c r="K443" s="170">
        <f t="shared" si="207"/>
        <v>-12011.849999999977</v>
      </c>
      <c r="L443" s="168">
        <f t="shared" si="215"/>
        <v>-3.3773331218959125E-2</v>
      </c>
      <c r="M443" s="178">
        <f t="shared" si="208"/>
        <v>-6351.0499999999884</v>
      </c>
      <c r="N443" s="180">
        <f t="shared" si="189"/>
        <v>-1.8145857142857109E-2</v>
      </c>
      <c r="O443" s="179">
        <f t="shared" si="192"/>
        <v>-9.9218178464499391E-3</v>
      </c>
      <c r="P443" s="178" t="b">
        <f t="shared" si="209"/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si="210"/>
        <v>66994.5</v>
      </c>
      <c r="T443" s="170">
        <v>-42389</v>
      </c>
      <c r="U443" s="170">
        <f t="shared" si="211"/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199"/>
        <v>0.5858623321565245</v>
      </c>
      <c r="Y443" s="171">
        <f t="shared" si="200"/>
        <v>-3.1224275300202758E-2</v>
      </c>
      <c r="Z443" s="784">
        <f t="shared" si="201"/>
        <v>-0.17511585390851983</v>
      </c>
    </row>
    <row r="444" spans="1:26" ht="20.100000000000001" customHeight="1" x14ac:dyDescent="0.25">
      <c r="A444" s="160">
        <f t="shared" si="188"/>
        <v>669</v>
      </c>
      <c r="B444" s="169">
        <v>42902</v>
      </c>
      <c r="C444" s="211">
        <v>2433.46</v>
      </c>
      <c r="D444" s="168">
        <f t="shared" si="213"/>
        <v>4.1110645190465617E-4</v>
      </c>
      <c r="E444" s="205">
        <f t="shared" si="205"/>
        <v>0.15744563459599323</v>
      </c>
      <c r="F444" s="215">
        <v>6166.5</v>
      </c>
      <c r="G444" s="168">
        <f t="shared" si="214"/>
        <v>1.6219284729543428E-4</v>
      </c>
      <c r="H444" s="199">
        <f t="shared" si="206"/>
        <v>0.21108863444429174</v>
      </c>
      <c r="I444" s="217">
        <v>340685.9</v>
      </c>
      <c r="J444" s="170">
        <v>350000</v>
      </c>
      <c r="K444" s="170">
        <f t="shared" si="207"/>
        <v>-2963.0499999999884</v>
      </c>
      <c r="L444" s="168">
        <f t="shared" si="215"/>
        <v>-8.6223164656839147E-3</v>
      </c>
      <c r="M444" s="178">
        <f t="shared" si="208"/>
        <v>-9314.0999999999767</v>
      </c>
      <c r="N444" s="180">
        <f t="shared" si="189"/>
        <v>-2.6611714285714218E-2</v>
      </c>
      <c r="O444" s="179">
        <f t="shared" si="192"/>
        <v>-1.4529041319666843E-2</v>
      </c>
      <c r="P444" s="178" t="b">
        <f t="shared" si="209"/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si="210"/>
        <v>60314.5</v>
      </c>
      <c r="T444" s="170">
        <v>-45235</v>
      </c>
      <c r="U444" s="170">
        <f t="shared" si="211"/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199"/>
        <v>0.58742556502635634</v>
      </c>
      <c r="Y444" s="171">
        <f t="shared" si="200"/>
        <v>-4.5764839163012216E-2</v>
      </c>
      <c r="Z444" s="784">
        <f t="shared" si="201"/>
        <v>-0.18405734888170744</v>
      </c>
    </row>
    <row r="445" spans="1:26" ht="20.100000000000001" customHeight="1" x14ac:dyDescent="0.25">
      <c r="A445" s="160">
        <f t="shared" si="188"/>
        <v>670</v>
      </c>
      <c r="B445" s="169">
        <v>42903</v>
      </c>
      <c r="C445" s="211">
        <v>2453.46</v>
      </c>
      <c r="D445" s="168">
        <f t="shared" si="213"/>
        <v>8.2187502568359452E-3</v>
      </c>
      <c r="E445" s="205">
        <f t="shared" si="205"/>
        <v>0.16695839120260267</v>
      </c>
      <c r="F445" s="215">
        <v>6239.01</v>
      </c>
      <c r="G445" s="168">
        <f t="shared" si="214"/>
        <v>1.17586961809779E-2</v>
      </c>
      <c r="H445" s="199">
        <f t="shared" si="206"/>
        <v>0.22532945774495758</v>
      </c>
      <c r="I445" s="217">
        <v>342070.2</v>
      </c>
      <c r="J445" s="170">
        <v>350000</v>
      </c>
      <c r="K445" s="170">
        <f t="shared" si="207"/>
        <v>1384.2999999999884</v>
      </c>
      <c r="L445" s="168">
        <f t="shared" si="215"/>
        <v>4.0632735314258331E-3</v>
      </c>
      <c r="M445" s="178">
        <f t="shared" si="208"/>
        <v>-7929.7999999999884</v>
      </c>
      <c r="N445" s="180">
        <f t="shared" si="189"/>
        <v>-2.2656571428571394E-2</v>
      </c>
      <c r="O445" s="179">
        <f t="shared" si="192"/>
        <v>-1.2351213006396569E-2</v>
      </c>
      <c r="P445" s="178" t="b">
        <f t="shared" si="209"/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si="210"/>
        <v>60314.5</v>
      </c>
      <c r="T445" s="170">
        <v>-44677</v>
      </c>
      <c r="U445" s="170">
        <f t="shared" si="211"/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199"/>
        <v>0.62218285330333911</v>
      </c>
      <c r="Y445" s="171">
        <f t="shared" si="200"/>
        <v>-3.8947482202352612E-2</v>
      </c>
      <c r="Z445" s="784">
        <f t="shared" si="201"/>
        <v>-0.18961496263117406</v>
      </c>
    </row>
    <row r="446" spans="1:26" ht="20.100000000000001" customHeight="1" x14ac:dyDescent="0.25">
      <c r="A446" s="160">
        <f t="shared" si="188"/>
        <v>684</v>
      </c>
      <c r="B446" s="169">
        <v>42917</v>
      </c>
      <c r="C446" s="211">
        <v>2423.41</v>
      </c>
      <c r="D446" s="168">
        <f t="shared" si="213"/>
        <v>-1.2248008934321399E-2</v>
      </c>
      <c r="E446" s="205">
        <f t="shared" si="205"/>
        <v>0.15266547440117187</v>
      </c>
      <c r="F446" s="215">
        <v>6140.42</v>
      </c>
      <c r="G446" s="168">
        <f t="shared" si="214"/>
        <v>-1.5802186564855665E-2</v>
      </c>
      <c r="H446" s="199">
        <f t="shared" si="206"/>
        <v>0.20596657305025831</v>
      </c>
      <c r="I446" s="406">
        <v>340097.61</v>
      </c>
      <c r="J446" s="170">
        <v>350000</v>
      </c>
      <c r="K446" s="170">
        <f t="shared" si="207"/>
        <v>-1972.5900000000256</v>
      </c>
      <c r="L446" s="168">
        <f t="shared" si="215"/>
        <v>-5.7666233422263196E-3</v>
      </c>
      <c r="M446" s="406">
        <f t="shared" si="208"/>
        <v>-9902.390000000014</v>
      </c>
      <c r="N446" s="180">
        <f t="shared" si="189"/>
        <v>-2.8292542857142899E-2</v>
      </c>
      <c r="O446" s="179">
        <f t="shared" si="192"/>
        <v>-1.5107969705513806E-2</v>
      </c>
      <c r="P446" s="178" t="b">
        <f t="shared" si="209"/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si="210"/>
        <v>74427.859999999986</v>
      </c>
      <c r="T446" s="170">
        <v>-48327</v>
      </c>
      <c r="U446" s="170">
        <f t="shared" si="211"/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199"/>
        <v>0.55672399514294701</v>
      </c>
      <c r="Y446" s="171">
        <f t="shared" si="200"/>
        <v>-4.7689274365444727E-2</v>
      </c>
      <c r="Z446" s="784">
        <f t="shared" si="201"/>
        <v>-0.18095801725831476</v>
      </c>
    </row>
    <row r="447" spans="1:26" ht="20.100000000000001" customHeight="1" x14ac:dyDescent="0.25">
      <c r="A447" s="160">
        <f t="shared" si="188"/>
        <v>699</v>
      </c>
      <c r="B447" s="169">
        <v>42932</v>
      </c>
      <c r="C447" s="211">
        <v>2459.27</v>
      </c>
      <c r="D447" s="168">
        <f t="shared" si="213"/>
        <v>1.4797331033543696E-2</v>
      </c>
      <c r="E447" s="205">
        <f t="shared" si="205"/>
        <v>0.16972184699682269</v>
      </c>
      <c r="F447" s="215">
        <v>6312.46</v>
      </c>
      <c r="G447" s="168">
        <f t="shared" si="214"/>
        <v>2.801762745870803E-2</v>
      </c>
      <c r="H447" s="199">
        <f t="shared" si="206"/>
        <v>0.23975489522163526</v>
      </c>
      <c r="I447" s="217">
        <v>337505.3</v>
      </c>
      <c r="J447" s="170">
        <v>350000</v>
      </c>
      <c r="K447" s="170">
        <f t="shared" si="207"/>
        <v>-2592.3099999999977</v>
      </c>
      <c r="L447" s="168">
        <f t="shared" si="215"/>
        <v>-7.6222529173315791E-3</v>
      </c>
      <c r="M447" s="178">
        <f t="shared" si="208"/>
        <v>-12494.700000000012</v>
      </c>
      <c r="N447" s="180">
        <f t="shared" si="189"/>
        <v>-3.5699142857142888E-2</v>
      </c>
      <c r="O447" s="179">
        <f t="shared" si="192"/>
        <v>-1.8653951256897627E-2</v>
      </c>
      <c r="P447" s="178" t="b">
        <f t="shared" si="209"/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si="210"/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199"/>
        <v>0.60465971820759368</v>
      </c>
      <c r="Y447" s="171">
        <f t="shared" si="200"/>
        <v>-5.8938268385742225E-2</v>
      </c>
      <c r="Z447" s="784">
        <f t="shared" si="201"/>
        <v>-0.20542098985396556</v>
      </c>
    </row>
    <row r="448" spans="1:26" ht="20.100000000000001" customHeight="1" x14ac:dyDescent="0.25">
      <c r="A448" s="160">
        <f t="shared" si="188"/>
        <v>702</v>
      </c>
      <c r="B448" s="169">
        <v>42935</v>
      </c>
      <c r="C448" s="211">
        <v>2473.83</v>
      </c>
      <c r="D448" s="168">
        <f t="shared" si="213"/>
        <v>5.9204560702972612E-3</v>
      </c>
      <c r="E448" s="205">
        <f t="shared" si="205"/>
        <v>0.17664713380643438</v>
      </c>
      <c r="F448" s="215">
        <v>6385.04</v>
      </c>
      <c r="G448" s="168">
        <f t="shared" si="214"/>
        <v>1.1497894640124441E-2</v>
      </c>
      <c r="H448" s="199">
        <f t="shared" si="206"/>
        <v>0.25400946638647215</v>
      </c>
      <c r="I448" s="217">
        <v>343410.37</v>
      </c>
      <c r="J448" s="170">
        <v>350000</v>
      </c>
      <c r="K448" s="170">
        <f t="shared" si="207"/>
        <v>5905.070000000007</v>
      </c>
      <c r="L448" s="168">
        <f t="shared" si="215"/>
        <v>1.7496228948108393E-2</v>
      </c>
      <c r="M448" s="178">
        <f t="shared" si="208"/>
        <v>-6589.6300000000047</v>
      </c>
      <c r="N448" s="180">
        <f t="shared" si="189"/>
        <v>-1.8827514285714299E-2</v>
      </c>
      <c r="O448" s="179">
        <f t="shared" si="192"/>
        <v>-9.7959395909645985E-3</v>
      </c>
      <c r="P448" s="178" t="b">
        <f t="shared" si="209"/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si="210"/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199"/>
        <v>0.62709596151319946</v>
      </c>
      <c r="Y448" s="171">
        <f t="shared" si="200"/>
        <v>-3.0959866028433092E-2</v>
      </c>
      <c r="Z448" s="784">
        <f t="shared" si="201"/>
        <v>-0.19547464809214868</v>
      </c>
    </row>
    <row r="449" spans="1:26" ht="20.100000000000001" customHeight="1" x14ac:dyDescent="0.25">
      <c r="A449" s="160">
        <f t="shared" ref="A449:A512" si="216">B449-$B$2</f>
        <v>706</v>
      </c>
      <c r="B449" s="169">
        <v>42939</v>
      </c>
      <c r="C449" s="211">
        <v>2472.54</v>
      </c>
      <c r="D449" s="168">
        <f t="shared" si="213"/>
        <v>-5.214586289275996E-4</v>
      </c>
      <c r="E449" s="205">
        <f t="shared" si="205"/>
        <v>0.17603356100530806</v>
      </c>
      <c r="F449" s="215">
        <v>6387.75</v>
      </c>
      <c r="G449" s="168">
        <f t="shared" si="214"/>
        <v>4.2442960419982275E-4</v>
      </c>
      <c r="H449" s="199">
        <f t="shared" si="206"/>
        <v>0.25454170512795338</v>
      </c>
      <c r="I449" s="217">
        <v>341551.16</v>
      </c>
      <c r="J449" s="170">
        <v>350000</v>
      </c>
      <c r="K449" s="170">
        <f t="shared" si="207"/>
        <v>-1859.210000000021</v>
      </c>
      <c r="L449" s="168">
        <f t="shared" si="215"/>
        <v>-5.4139599803000151E-3</v>
      </c>
      <c r="M449" s="178">
        <f t="shared" si="208"/>
        <v>-8448.8400000000256</v>
      </c>
      <c r="N449" s="180">
        <f t="shared" ref="N449:N512" si="217">M449/J449</f>
        <v>-2.4139542857142929E-2</v>
      </c>
      <c r="O449" s="179">
        <f t="shared" si="192"/>
        <v>-1.248862326993124E-2</v>
      </c>
      <c r="P449" s="178" t="b">
        <f t="shared" si="209"/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si="210"/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199"/>
        <v>0.62206790085699526</v>
      </c>
      <c r="Y449" s="171">
        <f t="shared" si="200"/>
        <v>-3.9510652619571714E-2</v>
      </c>
      <c r="Z449" s="784">
        <f t="shared" si="201"/>
        <v>-0.20017310386245099</v>
      </c>
    </row>
    <row r="450" spans="1:26" ht="20.100000000000001" customHeight="1" x14ac:dyDescent="0.25">
      <c r="A450" s="160">
        <f t="shared" si="216"/>
        <v>707</v>
      </c>
      <c r="B450" s="169">
        <v>42940</v>
      </c>
      <c r="C450" s="211">
        <v>2469.91</v>
      </c>
      <c r="D450" s="168">
        <f t="shared" si="213"/>
        <v>-1.0636834995592019E-3</v>
      </c>
      <c r="E450" s="205">
        <f t="shared" si="205"/>
        <v>0.17478263351153889</v>
      </c>
      <c r="F450" s="215">
        <v>6410.8</v>
      </c>
      <c r="G450" s="168">
        <f t="shared" si="214"/>
        <v>3.6084693358381563E-3</v>
      </c>
      <c r="H450" s="199">
        <f t="shared" si="206"/>
        <v>0.25906868040143771</v>
      </c>
      <c r="I450" s="217">
        <v>340982.83</v>
      </c>
      <c r="J450" s="170">
        <v>350000</v>
      </c>
      <c r="K450" s="170">
        <f t="shared" si="207"/>
        <v>-568.32999999995809</v>
      </c>
      <c r="L450" s="168">
        <f t="shared" si="215"/>
        <v>-1.6639674126709397E-3</v>
      </c>
      <c r="M450" s="178">
        <f t="shared" si="208"/>
        <v>-9017.1699999999837</v>
      </c>
      <c r="N450" s="180">
        <f t="shared" si="217"/>
        <v>-2.576334285714281E-2</v>
      </c>
      <c r="O450" s="179">
        <f t="shared" si="192"/>
        <v>-1.3309845797130709E-2</v>
      </c>
      <c r="P450" s="178" t="b">
        <f t="shared" si="209"/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si="210"/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199"/>
        <v>0.61744729629894557</v>
      </c>
      <c r="Y450" s="171">
        <f t="shared" si="200"/>
        <v>-4.2155483185343769E-2</v>
      </c>
      <c r="Z450" s="784">
        <f t="shared" si="201"/>
        <v>-0.20054597636868171</v>
      </c>
    </row>
    <row r="451" spans="1:26" ht="20.100000000000001" customHeight="1" x14ac:dyDescent="0.25">
      <c r="A451" s="160">
        <f t="shared" si="216"/>
        <v>708</v>
      </c>
      <c r="B451" s="169">
        <v>42941</v>
      </c>
      <c r="C451" s="211">
        <v>2477.13</v>
      </c>
      <c r="D451" s="168">
        <f t="shared" si="213"/>
        <v>2.9231834358337976E-3</v>
      </c>
      <c r="E451" s="205">
        <f t="shared" si="205"/>
        <v>0.17821673864652501</v>
      </c>
      <c r="F451" s="215">
        <v>6412.17</v>
      </c>
      <c r="G451" s="168">
        <f t="shared" si="214"/>
        <v>2.1370187808072172E-4</v>
      </c>
      <c r="H451" s="199">
        <f t="shared" si="206"/>
        <v>0.25933774574307211</v>
      </c>
      <c r="I451" s="217">
        <v>346881.69</v>
      </c>
      <c r="J451" s="170">
        <v>350000</v>
      </c>
      <c r="K451" s="170">
        <f t="shared" si="207"/>
        <v>5898.859999999986</v>
      </c>
      <c r="L451" s="168">
        <f t="shared" si="215"/>
        <v>1.7299580744285527E-2</v>
      </c>
      <c r="M451" s="178">
        <f t="shared" si="208"/>
        <v>-3118.3099999999977</v>
      </c>
      <c r="N451" s="180">
        <f t="shared" si="217"/>
        <v>-8.9094571428571367E-3</v>
      </c>
      <c r="O451" s="179">
        <f t="shared" si="192"/>
        <v>-4.5962983353510858E-3</v>
      </c>
      <c r="P451" s="178" t="b">
        <f t="shared" si="209"/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si="210"/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199"/>
        <v>0.62933980870846162</v>
      </c>
      <c r="Y451" s="171">
        <f t="shared" si="200"/>
        <v>-1.4562039104979175E-2</v>
      </c>
      <c r="Z451" s="784">
        <f t="shared" si="201"/>
        <v>-0.18712619578938214</v>
      </c>
    </row>
    <row r="452" spans="1:26" ht="20.100000000000001" customHeight="1" x14ac:dyDescent="0.25">
      <c r="A452" s="160">
        <f t="shared" si="216"/>
        <v>709</v>
      </c>
      <c r="B452" s="169">
        <v>42942</v>
      </c>
      <c r="C452" s="211">
        <v>2477.83</v>
      </c>
      <c r="D452" s="168">
        <f t="shared" si="213"/>
        <v>2.8258508838850525E-4</v>
      </c>
      <c r="E452" s="205">
        <f t="shared" si="205"/>
        <v>0.17854968512775626</v>
      </c>
      <c r="F452" s="215">
        <v>6422.74</v>
      </c>
      <c r="G452" s="168">
        <f t="shared" si="214"/>
        <v>1.6484279112998733E-3</v>
      </c>
      <c r="H452" s="199">
        <f t="shared" si="206"/>
        <v>0.26141367323290848</v>
      </c>
      <c r="I452" s="217">
        <v>344935.7</v>
      </c>
      <c r="J452" s="170">
        <v>350000</v>
      </c>
      <c r="K452" s="170">
        <f t="shared" si="207"/>
        <v>-1945.9899999999907</v>
      </c>
      <c r="L452" s="168">
        <f t="shared" si="215"/>
        <v>-5.6099530649772571E-3</v>
      </c>
      <c r="M452" s="178">
        <f t="shared" si="208"/>
        <v>-5064.2999999999884</v>
      </c>
      <c r="N452" s="180">
        <f t="shared" si="217"/>
        <v>-1.4469428571428538E-2</v>
      </c>
      <c r="O452" s="179">
        <f t="shared" si="192"/>
        <v>-7.4541026596816268E-3</v>
      </c>
      <c r="P452" s="178" t="b">
        <f t="shared" si="209"/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si="210"/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199"/>
        <v>0.63032843254768567</v>
      </c>
      <c r="Y452" s="171">
        <f t="shared" si="200"/>
        <v>-2.3640122354493157E-2</v>
      </c>
      <c r="Z452" s="784">
        <f t="shared" si="201"/>
        <v>-0.19301911369918481</v>
      </c>
    </row>
    <row r="453" spans="1:26" ht="20.100000000000001" customHeight="1" x14ac:dyDescent="0.25">
      <c r="A453" s="160">
        <f t="shared" si="216"/>
        <v>710</v>
      </c>
      <c r="B453" s="169">
        <v>42943</v>
      </c>
      <c r="C453" s="211">
        <v>2475.42</v>
      </c>
      <c r="D453" s="168">
        <f t="shared" si="213"/>
        <v>-9.7262524063388312E-4</v>
      </c>
      <c r="E453" s="205">
        <f t="shared" si="205"/>
        <v>0.17740339795665988</v>
      </c>
      <c r="F453" s="215">
        <v>6382.18</v>
      </c>
      <c r="G453" s="168">
        <f t="shared" si="214"/>
        <v>-6.3150617960558101E-3</v>
      </c>
      <c r="H453" s="199">
        <f t="shared" si="206"/>
        <v>0.25344776793605289</v>
      </c>
      <c r="I453" s="217">
        <v>347779.66</v>
      </c>
      <c r="J453" s="170">
        <v>350000</v>
      </c>
      <c r="K453" s="170">
        <f t="shared" si="207"/>
        <v>2843.9599999999627</v>
      </c>
      <c r="L453" s="168">
        <f t="shared" si="215"/>
        <v>8.2448989768236884E-3</v>
      </c>
      <c r="M453" s="178">
        <f t="shared" si="208"/>
        <v>-2220.3400000000256</v>
      </c>
      <c r="N453" s="180">
        <f t="shared" si="217"/>
        <v>-6.343828571428645E-3</v>
      </c>
      <c r="O453" s="179">
        <f t="shared" si="192"/>
        <v>-3.2634977263581869E-3</v>
      </c>
      <c r="P453" s="178" t="b">
        <f t="shared" si="209"/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si="210"/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199"/>
        <v>0.62608001863351337</v>
      </c>
      <c r="Y453" s="171">
        <f t="shared" si="200"/>
        <v>-1.0359641644182118E-2</v>
      </c>
      <c r="Z453" s="784">
        <f t="shared" si="201"/>
        <v>-0.18374722652808853</v>
      </c>
    </row>
    <row r="454" spans="1:26" ht="20.100000000000001" customHeight="1" x14ac:dyDescent="0.25">
      <c r="A454" s="160">
        <f t="shared" si="216"/>
        <v>711</v>
      </c>
      <c r="B454" s="169">
        <v>42944</v>
      </c>
      <c r="C454" s="211">
        <v>2472.1</v>
      </c>
      <c r="D454" s="168">
        <f t="shared" si="213"/>
        <v>-1.3411865461215324E-3</v>
      </c>
      <c r="E454" s="205">
        <f t="shared" si="205"/>
        <v>0.17582428035996264</v>
      </c>
      <c r="F454" s="215">
        <v>6374.37</v>
      </c>
      <c r="G454" s="168">
        <f t="shared" si="214"/>
        <v>-1.223719794803719E-3</v>
      </c>
      <c r="H454" s="199">
        <f t="shared" si="206"/>
        <v>0.25191389909067702</v>
      </c>
      <c r="I454" s="217">
        <v>349490.54</v>
      </c>
      <c r="J454" s="170">
        <v>350000</v>
      </c>
      <c r="K454" s="170">
        <f t="shared" si="207"/>
        <v>1710.8800000000047</v>
      </c>
      <c r="L454" s="168">
        <f t="shared" si="215"/>
        <v>4.919436634103342E-3</v>
      </c>
      <c r="M454" s="178">
        <f t="shared" si="208"/>
        <v>-509.46000000002095</v>
      </c>
      <c r="N454" s="180">
        <f t="shared" si="217"/>
        <v>-1.4556000000000599E-3</v>
      </c>
      <c r="O454" s="179">
        <f t="shared" si="192"/>
        <v>-7.4776075949370164E-4</v>
      </c>
      <c r="P454" s="178" t="b">
        <f t="shared" si="209"/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si="210"/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199"/>
        <v>0.62029763629220669</v>
      </c>
      <c r="Y454" s="171">
        <f t="shared" si="200"/>
        <v>-2.3761884860884976E-3</v>
      </c>
      <c r="Z454" s="784">
        <f t="shared" si="201"/>
        <v>-0.1772798803599627</v>
      </c>
    </row>
    <row r="455" spans="1:26" ht="20.100000000000001" customHeight="1" x14ac:dyDescent="0.25">
      <c r="A455" s="160">
        <f t="shared" si="216"/>
        <v>714</v>
      </c>
      <c r="B455" s="169">
        <v>42947</v>
      </c>
      <c r="C455" s="211">
        <v>2470.3000000000002</v>
      </c>
      <c r="D455" s="168">
        <f t="shared" si="213"/>
        <v>-7.2812588487509696E-4</v>
      </c>
      <c r="E455" s="205">
        <f t="shared" si="205"/>
        <v>0.17496813226536792</v>
      </c>
      <c r="F455" s="215">
        <v>6348.12</v>
      </c>
      <c r="G455" s="168">
        <f t="shared" si="214"/>
        <v>-4.1180540194560404E-3</v>
      </c>
      <c r="H455" s="199">
        <f t="shared" si="206"/>
        <v>0.24675845002651375</v>
      </c>
      <c r="I455" s="462">
        <v>348754.42</v>
      </c>
      <c r="J455" s="170">
        <v>350000</v>
      </c>
      <c r="K455" s="170">
        <f t="shared" si="207"/>
        <v>-736.11999999999534</v>
      </c>
      <c r="L455" s="168">
        <f t="shared" si="215"/>
        <v>-2.1062658806158111E-3</v>
      </c>
      <c r="M455" s="462">
        <f t="shared" si="208"/>
        <v>-1245.5800000000163</v>
      </c>
      <c r="N455" s="180">
        <f t="shared" si="217"/>
        <v>-3.5588000000000464E-3</v>
      </c>
      <c r="O455" s="179">
        <f t="shared" ref="O455:O518" si="218">N455/(A455/365.25)</f>
        <v>-1.8205205882353178E-3</v>
      </c>
      <c r="P455" s="178" t="b">
        <f t="shared" si="209"/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si="210"/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199"/>
        <v>0.61535438354440486</v>
      </c>
      <c r="Y455" s="171">
        <f t="shared" si="200"/>
        <v>-5.791447876890456E-3</v>
      </c>
      <c r="Z455" s="784">
        <f t="shared" si="201"/>
        <v>-0.17852693226536798</v>
      </c>
    </row>
    <row r="456" spans="1:26" ht="20.100000000000001" customHeight="1" x14ac:dyDescent="0.25">
      <c r="A456" s="160">
        <f t="shared" si="216"/>
        <v>716</v>
      </c>
      <c r="B456" s="169">
        <v>42949</v>
      </c>
      <c r="C456" s="211">
        <v>2477.5700000000002</v>
      </c>
      <c r="D456" s="168">
        <f t="shared" si="213"/>
        <v>2.9429623932315839E-3</v>
      </c>
      <c r="E456" s="205">
        <f t="shared" si="205"/>
        <v>0.17842601929187044</v>
      </c>
      <c r="F456" s="215">
        <v>6362.64</v>
      </c>
      <c r="G456" s="168">
        <f t="shared" si="214"/>
        <v>2.2872913555510035E-3</v>
      </c>
      <c r="H456" s="199">
        <f t="shared" si="206"/>
        <v>0.24961014985171959</v>
      </c>
      <c r="I456" s="217">
        <v>346224.68</v>
      </c>
      <c r="J456" s="170">
        <v>350000</v>
      </c>
      <c r="K456" s="170">
        <f t="shared" si="207"/>
        <v>-2529.7399999999907</v>
      </c>
      <c r="L456" s="168">
        <f t="shared" si="215"/>
        <v>-7.2536428355517062E-3</v>
      </c>
      <c r="M456" s="178">
        <f t="shared" si="208"/>
        <v>-3775.320000000007</v>
      </c>
      <c r="N456" s="180">
        <f t="shared" si="217"/>
        <v>-1.0786628571428591E-2</v>
      </c>
      <c r="O456" s="179">
        <f t="shared" si="218"/>
        <v>-5.5025364325618619E-3</v>
      </c>
      <c r="P456" s="178" t="b">
        <f t="shared" si="209"/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si="210"/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199"/>
        <v>0.62640125535416991</v>
      </c>
      <c r="Y456" s="171">
        <f t="shared" si="200"/>
        <v>-1.7521169701114871E-2</v>
      </c>
      <c r="Z456" s="784">
        <f t="shared" si="201"/>
        <v>-0.18921264786329903</v>
      </c>
    </row>
    <row r="457" spans="1:26" ht="20.100000000000001" customHeight="1" x14ac:dyDescent="0.25">
      <c r="A457" s="160">
        <f t="shared" si="216"/>
        <v>717</v>
      </c>
      <c r="B457" s="169">
        <v>42950</v>
      </c>
      <c r="C457" s="211">
        <v>2472.16</v>
      </c>
      <c r="D457" s="168">
        <f t="shared" si="213"/>
        <v>-2.1835911800676907E-3</v>
      </c>
      <c r="E457" s="205">
        <f t="shared" si="205"/>
        <v>0.17585281862978244</v>
      </c>
      <c r="F457" s="215">
        <v>6340.34</v>
      </c>
      <c r="G457" s="168">
        <f t="shared" si="214"/>
        <v>-3.5048344712258089E-3</v>
      </c>
      <c r="H457" s="199">
        <f t="shared" si="206"/>
        <v>0.24523047312292562</v>
      </c>
      <c r="I457" s="217">
        <v>348198.95</v>
      </c>
      <c r="J457" s="170">
        <v>350000</v>
      </c>
      <c r="K457" s="170">
        <f t="shared" si="207"/>
        <v>1974.2700000000186</v>
      </c>
      <c r="L457" s="168">
        <f t="shared" si="215"/>
        <v>5.7022798028148044E-3</v>
      </c>
      <c r="M457" s="178">
        <f t="shared" si="208"/>
        <v>-1801.0499999999884</v>
      </c>
      <c r="N457" s="180">
        <f t="shared" si="217"/>
        <v>-5.1458571428571092E-3</v>
      </c>
      <c r="O457" s="179">
        <f t="shared" si="218"/>
        <v>-2.6213728332336946E-3</v>
      </c>
      <c r="P457" s="178" t="b">
        <f t="shared" si="209"/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si="210"/>
        <v>58363.850000000035</v>
      </c>
      <c r="T457" s="170">
        <v>-40278</v>
      </c>
      <c r="U457" s="170">
        <f t="shared" ref="U457:U462" si="219">M457-T457</f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199"/>
        <v>0.61713227010711635</v>
      </c>
      <c r="Y457" s="171">
        <f t="shared" si="200"/>
        <v>-8.3555104637466921E-3</v>
      </c>
      <c r="Z457" s="784">
        <f t="shared" si="201"/>
        <v>-0.18099867577263956</v>
      </c>
    </row>
    <row r="458" spans="1:26" ht="20.100000000000001" customHeight="1" x14ac:dyDescent="0.25">
      <c r="A458" s="160">
        <f t="shared" si="216"/>
        <v>718</v>
      </c>
      <c r="B458" s="169">
        <v>42951</v>
      </c>
      <c r="C458" s="211">
        <v>2476.83</v>
      </c>
      <c r="D458" s="168">
        <f t="shared" si="213"/>
        <v>1.8890363083295875E-3</v>
      </c>
      <c r="E458" s="205">
        <f t="shared" si="205"/>
        <v>0.17807404729742579</v>
      </c>
      <c r="F458" s="215">
        <v>6351.56</v>
      </c>
      <c r="G458" s="168">
        <f t="shared" si="214"/>
        <v>1.7696211875073346E-3</v>
      </c>
      <c r="H458" s="199">
        <f t="shared" ref="H458:H483" si="220">(F458-F$2)/F$2</f>
        <v>0.24743405935149373</v>
      </c>
      <c r="I458" s="217">
        <v>352188.09</v>
      </c>
      <c r="J458" s="170">
        <v>350000</v>
      </c>
      <c r="K458" s="170">
        <f t="shared" ref="K458:K483" si="221">I458-I457-J458+J457</f>
        <v>3989.140000000014</v>
      </c>
      <c r="L458" s="168">
        <f t="shared" si="215"/>
        <v>1.1456496350721374E-2</v>
      </c>
      <c r="M458" s="178">
        <f t="shared" si="208"/>
        <v>2188.0900000000256</v>
      </c>
      <c r="N458" s="180">
        <f t="shared" si="217"/>
        <v>6.2516857142857875E-3</v>
      </c>
      <c r="O458" s="179">
        <f t="shared" si="218"/>
        <v>3.1802621269399495E-3</v>
      </c>
      <c r="P458" s="178" t="b">
        <f t="shared" si="209"/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:S489" si="222">I458-R458</f>
        <v>55723.920000000042</v>
      </c>
      <c r="T458" s="170">
        <v>-36936</v>
      </c>
      <c r="U458" s="170">
        <f t="shared" si="219"/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199"/>
        <v>0.62472565622538812</v>
      </c>
      <c r="Y458" s="171">
        <f t="shared" si="200"/>
        <v>1.0144600541748646E-2</v>
      </c>
      <c r="Z458" s="784">
        <f t="shared" si="201"/>
        <v>-0.17182236158314002</v>
      </c>
    </row>
    <row r="459" spans="1:26" ht="20.100000000000001" customHeight="1" x14ac:dyDescent="0.25">
      <c r="A459" s="160">
        <f t="shared" si="216"/>
        <v>719</v>
      </c>
      <c r="B459" s="169">
        <v>42952</v>
      </c>
      <c r="C459" s="211">
        <v>2480.91</v>
      </c>
      <c r="D459" s="168">
        <f t="shared" si="213"/>
        <v>1.6472668693450609E-3</v>
      </c>
      <c r="E459" s="205">
        <f t="shared" si="205"/>
        <v>0.18001464964517408</v>
      </c>
      <c r="F459" s="215">
        <v>6383.77</v>
      </c>
      <c r="G459" s="168">
        <f t="shared" si="214"/>
        <v>5.0711951079734797E-3</v>
      </c>
      <c r="H459" s="199">
        <f t="shared" si="220"/>
        <v>0.25376004085079651</v>
      </c>
      <c r="I459" s="217">
        <v>348235.03</v>
      </c>
      <c r="J459" s="170">
        <v>350000</v>
      </c>
      <c r="K459" s="170">
        <f t="shared" si="221"/>
        <v>-3953.0599999999977</v>
      </c>
      <c r="L459" s="168">
        <f t="shared" si="215"/>
        <v>-1.1224286431718907E-2</v>
      </c>
      <c r="M459" s="178">
        <f t="shared" si="208"/>
        <v>-1764.9699999999721</v>
      </c>
      <c r="N459" s="180">
        <f t="shared" si="217"/>
        <v>-5.0427714285713491E-3</v>
      </c>
      <c r="O459" s="179">
        <f t="shared" si="218"/>
        <v>-2.5617138585336376E-3</v>
      </c>
      <c r="P459" s="178" t="b">
        <f t="shared" si="209"/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si="222"/>
        <v>55723.920000000042</v>
      </c>
      <c r="T459" s="170">
        <v>-40990</v>
      </c>
      <c r="U459" s="170">
        <f t="shared" si="219"/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199"/>
        <v>0.63133515671575291</v>
      </c>
      <c r="Y459" s="171">
        <f t="shared" si="200"/>
        <v>-8.1773840472482203E-3</v>
      </c>
      <c r="Z459" s="784">
        <f t="shared" si="201"/>
        <v>-0.18505742107374543</v>
      </c>
    </row>
    <row r="460" spans="1:26" ht="20.100000000000001" customHeight="1" x14ac:dyDescent="0.25">
      <c r="A460" s="160">
        <f t="shared" si="216"/>
        <v>722</v>
      </c>
      <c r="B460" s="169">
        <v>42955</v>
      </c>
      <c r="C460" s="211">
        <v>2474.92</v>
      </c>
      <c r="D460" s="168">
        <f t="shared" si="213"/>
        <v>-2.4144366381689711E-3</v>
      </c>
      <c r="E460" s="205">
        <f t="shared" si="205"/>
        <v>0.17716557904149466</v>
      </c>
      <c r="F460" s="215">
        <v>6370.46</v>
      </c>
      <c r="G460" s="168">
        <f t="shared" si="214"/>
        <v>-2.0849748659491803E-3</v>
      </c>
      <c r="H460" s="199">
        <f t="shared" si="220"/>
        <v>0.25114598267769117</v>
      </c>
      <c r="I460" s="217">
        <v>347445.16</v>
      </c>
      <c r="J460" s="170">
        <v>350000</v>
      </c>
      <c r="K460" s="170">
        <f t="shared" si="221"/>
        <v>-789.87000000005355</v>
      </c>
      <c r="L460" s="168">
        <f t="shared" si="215"/>
        <v>-2.2682094905847167E-3</v>
      </c>
      <c r="M460" s="178">
        <f t="shared" si="208"/>
        <v>-2554.8400000000256</v>
      </c>
      <c r="N460" s="180">
        <f t="shared" si="217"/>
        <v>-7.2995428571429304E-3</v>
      </c>
      <c r="O460" s="179">
        <f t="shared" si="218"/>
        <v>-3.6927396517610184E-3</v>
      </c>
      <c r="P460" s="178" t="b">
        <f t="shared" si="209"/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si="222"/>
        <v>64519.709999999963</v>
      </c>
      <c r="T460" s="170">
        <v>-41466</v>
      </c>
      <c r="U460" s="170">
        <f t="shared" si="219"/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199"/>
        <v>0.61937478691982528</v>
      </c>
      <c r="Y460" s="171">
        <f t="shared" si="200"/>
        <v>-1.1800478364467081E-2</v>
      </c>
      <c r="Z460" s="784">
        <f t="shared" si="201"/>
        <v>-0.18446512189863759</v>
      </c>
    </row>
    <row r="461" spans="1:26" ht="20.100000000000001" customHeight="1" x14ac:dyDescent="0.25">
      <c r="A461" s="160">
        <f t="shared" si="216"/>
        <v>723</v>
      </c>
      <c r="B461" s="169">
        <v>42956</v>
      </c>
      <c r="C461" s="211">
        <v>2474.02</v>
      </c>
      <c r="D461" s="168">
        <f t="shared" si="213"/>
        <v>-3.6364811791899976E-4</v>
      </c>
      <c r="E461" s="205">
        <f t="shared" si="205"/>
        <v>0.17673750499419719</v>
      </c>
      <c r="F461" s="215">
        <v>6352.33</v>
      </c>
      <c r="G461" s="168">
        <f t="shared" si="214"/>
        <v>-2.8459483302618821E-3</v>
      </c>
      <c r="H461" s="199">
        <f t="shared" si="220"/>
        <v>0.24758528585737577</v>
      </c>
      <c r="I461" s="217">
        <v>344663.89</v>
      </c>
      <c r="J461" s="170">
        <v>350000</v>
      </c>
      <c r="K461" s="170">
        <f t="shared" si="221"/>
        <v>-2781.2699999999604</v>
      </c>
      <c r="L461" s="168">
        <f t="shared" si="215"/>
        <v>-8.0049179559731395E-3</v>
      </c>
      <c r="M461" s="178">
        <f t="shared" si="208"/>
        <v>-5336.109999999986</v>
      </c>
      <c r="N461" s="180">
        <f t="shared" si="217"/>
        <v>-1.5246028571428531E-2</v>
      </c>
      <c r="O461" s="179">
        <f t="shared" si="218"/>
        <v>-7.7020911973917994E-3</v>
      </c>
      <c r="P461" s="178" t="b">
        <f t="shared" si="209"/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si="222"/>
        <v>58769.710000000021</v>
      </c>
      <c r="T461" s="170">
        <v>-43506</v>
      </c>
      <c r="U461" s="170">
        <f t="shared" si="219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199"/>
        <v>0.61769363630370799</v>
      </c>
      <c r="Y461" s="171">
        <f t="shared" si="200"/>
        <v>-2.4634777804082724E-2</v>
      </c>
      <c r="Z461" s="784">
        <f t="shared" si="201"/>
        <v>-0.19198353356562572</v>
      </c>
    </row>
    <row r="462" spans="1:26" ht="20.100000000000001" customHeight="1" x14ac:dyDescent="0.25">
      <c r="A462" s="160">
        <f t="shared" si="216"/>
        <v>724</v>
      </c>
      <c r="B462" s="169">
        <v>42957</v>
      </c>
      <c r="C462" s="211">
        <v>2438.21</v>
      </c>
      <c r="D462" s="168">
        <f t="shared" si="213"/>
        <v>-1.4474418153450637E-2</v>
      </c>
      <c r="E462" s="205">
        <f t="shared" si="205"/>
        <v>0.15970491429006295</v>
      </c>
      <c r="F462" s="215">
        <v>6216.87</v>
      </c>
      <c r="G462" s="168">
        <f t="shared" si="214"/>
        <v>-2.1324458899333005E-2</v>
      </c>
      <c r="H462" s="199">
        <f t="shared" si="220"/>
        <v>0.22098120470569754</v>
      </c>
      <c r="I462" s="217">
        <v>338857.2</v>
      </c>
      <c r="J462" s="170">
        <v>350000</v>
      </c>
      <c r="K462" s="170">
        <f t="shared" si="221"/>
        <v>-5806.6900000000023</v>
      </c>
      <c r="L462" s="168">
        <f t="shared" si="215"/>
        <v>-1.6847398780301594E-2</v>
      </c>
      <c r="M462" s="178">
        <f t="shared" si="208"/>
        <v>-11142.799999999988</v>
      </c>
      <c r="N462" s="180">
        <f t="shared" si="217"/>
        <v>-3.1836571428571395E-2</v>
      </c>
      <c r="O462" s="179">
        <f t="shared" si="218"/>
        <v>-1.6061198500394617E-2</v>
      </c>
      <c r="P462" s="178" t="b">
        <f t="shared" si="209"/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si="222"/>
        <v>49929.710000000021</v>
      </c>
      <c r="T462" s="170">
        <v>-45429</v>
      </c>
      <c r="U462" s="170">
        <f t="shared" si="219"/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199"/>
        <v>0.55638822836208146</v>
      </c>
      <c r="Y462" s="171">
        <f t="shared" si="200"/>
        <v>-5.1384371531331227E-2</v>
      </c>
      <c r="Z462" s="784">
        <f t="shared" si="201"/>
        <v>-0.19154148571863433</v>
      </c>
    </row>
    <row r="463" spans="1:26" ht="20.100000000000001" customHeight="1" x14ac:dyDescent="0.25">
      <c r="A463" s="160">
        <f t="shared" si="216"/>
        <v>729</v>
      </c>
      <c r="B463" s="169">
        <v>42962</v>
      </c>
      <c r="C463" s="211">
        <v>2464.61</v>
      </c>
      <c r="D463" s="168">
        <f t="shared" si="213"/>
        <v>1.0827615340762318E-2</v>
      </c>
      <c r="E463" s="205">
        <f t="shared" si="205"/>
        <v>0.1722617530107875</v>
      </c>
      <c r="F463" s="215">
        <v>6333.01</v>
      </c>
      <c r="G463" s="168">
        <f t="shared" si="214"/>
        <v>1.8681426505621049E-2</v>
      </c>
      <c r="H463" s="199">
        <f t="shared" si="220"/>
        <v>0.24379087534615168</v>
      </c>
      <c r="I463" s="217">
        <v>332438.64</v>
      </c>
      <c r="J463" s="170">
        <v>350000</v>
      </c>
      <c r="K463" s="170">
        <f t="shared" si="221"/>
        <v>-6418.5599999999977</v>
      </c>
      <c r="L463" s="168">
        <f t="shared" si="215"/>
        <v>-1.8941784326849179E-2</v>
      </c>
      <c r="M463" s="178">
        <f t="shared" si="208"/>
        <v>-17561.359999999986</v>
      </c>
      <c r="N463" s="180">
        <f t="shared" si="217"/>
        <v>-5.0175314285714243E-2</v>
      </c>
      <c r="O463" s="179">
        <f t="shared" si="218"/>
        <v>-2.5139277836566703E-2</v>
      </c>
      <c r="P463" s="178" t="b">
        <f t="shared" si="209"/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si="222"/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199"/>
        <v>0.59581555741895575</v>
      </c>
      <c r="Y463" s="171">
        <f t="shared" si="200"/>
        <v>-8.0431733918101475E-2</v>
      </c>
      <c r="Z463" s="784">
        <f t="shared" si="201"/>
        <v>-0.22243706729650176</v>
      </c>
    </row>
    <row r="464" spans="1:26" ht="20.100000000000001" customHeight="1" x14ac:dyDescent="0.25">
      <c r="A464" s="160">
        <f t="shared" si="216"/>
        <v>730</v>
      </c>
      <c r="B464" s="169">
        <v>42963</v>
      </c>
      <c r="C464" s="211">
        <v>2468.11</v>
      </c>
      <c r="D464" s="168">
        <f t="shared" si="213"/>
        <v>1.4201029777530724E-3</v>
      </c>
      <c r="E464" s="205">
        <f t="shared" si="205"/>
        <v>0.17392648541694417</v>
      </c>
      <c r="F464" s="215">
        <v>6345.1</v>
      </c>
      <c r="G464" s="168">
        <f t="shared" si="214"/>
        <v>1.9090448301834586E-3</v>
      </c>
      <c r="H464" s="199">
        <f t="shared" si="220"/>
        <v>0.24616532788656059</v>
      </c>
      <c r="I464" s="217">
        <v>331487.06</v>
      </c>
      <c r="J464" s="170">
        <v>350000</v>
      </c>
      <c r="K464" s="170">
        <f t="shared" si="221"/>
        <v>-951.5800000000163</v>
      </c>
      <c r="L464" s="168">
        <f t="shared" si="215"/>
        <v>-2.8624229722514095E-3</v>
      </c>
      <c r="M464" s="178">
        <f t="shared" si="208"/>
        <v>-18512.940000000002</v>
      </c>
      <c r="N464" s="180">
        <f t="shared" si="217"/>
        <v>-5.2894114285714292E-2</v>
      </c>
      <c r="O464" s="179">
        <f t="shared" si="218"/>
        <v>-2.6465171565557732E-2</v>
      </c>
      <c r="P464" s="178" t="b">
        <f t="shared" si="209"/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si="222"/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199"/>
        <v>0.60139368956345107</v>
      </c>
      <c r="Y464" s="171">
        <f t="shared" si="200"/>
        <v>-8.4763513171104282E-2</v>
      </c>
      <c r="Z464" s="784">
        <f t="shared" si="201"/>
        <v>-0.22682059970265844</v>
      </c>
    </row>
    <row r="465" spans="1:26" ht="20.100000000000001" customHeight="1" x14ac:dyDescent="0.25">
      <c r="A465" s="160">
        <f t="shared" si="216"/>
        <v>731</v>
      </c>
      <c r="B465" s="169">
        <v>42964</v>
      </c>
      <c r="C465" s="211">
        <v>2430.0100000000002</v>
      </c>
      <c r="D465" s="168">
        <f t="shared" si="213"/>
        <v>-1.5436913265616163E-2</v>
      </c>
      <c r="E465" s="205">
        <f t="shared" si="205"/>
        <v>0.15580468408135317</v>
      </c>
      <c r="F465" s="215">
        <v>6221.91</v>
      </c>
      <c r="G465" s="168">
        <f t="shared" si="214"/>
        <v>-1.9414981639375346E-2</v>
      </c>
      <c r="H465" s="199">
        <f t="shared" si="220"/>
        <v>0.22197105092601688</v>
      </c>
      <c r="I465" s="217">
        <v>325889.02</v>
      </c>
      <c r="J465" s="170">
        <v>350000</v>
      </c>
      <c r="K465" s="170">
        <f t="shared" si="221"/>
        <v>-5598.039999999979</v>
      </c>
      <c r="L465" s="168">
        <f t="shared" si="215"/>
        <v>-1.6887657696200809E-2</v>
      </c>
      <c r="M465" s="178">
        <f t="shared" si="208"/>
        <v>-24110.979999999981</v>
      </c>
      <c r="N465" s="180">
        <f t="shared" si="217"/>
        <v>-6.8888514285714228E-2</v>
      </c>
      <c r="O465" s="179">
        <f t="shared" si="218"/>
        <v>-3.4420697459448868E-2</v>
      </c>
      <c r="P465" s="178" t="b">
        <f t="shared" si="209"/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si="222"/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199"/>
        <v>0.53683097482860831</v>
      </c>
      <c r="Y465" s="171">
        <f t="shared" si="200"/>
        <v>-0.11027249252926981</v>
      </c>
      <c r="Z465" s="784">
        <f t="shared" si="201"/>
        <v>-0.22469319836706741</v>
      </c>
    </row>
    <row r="466" spans="1:26" ht="20.100000000000001" customHeight="1" x14ac:dyDescent="0.25">
      <c r="A466" s="160">
        <f t="shared" si="216"/>
        <v>734</v>
      </c>
      <c r="B466" s="169">
        <v>42967</v>
      </c>
      <c r="C466" s="211">
        <v>2425.5500000000002</v>
      </c>
      <c r="D466" s="168">
        <f t="shared" si="213"/>
        <v>-1.8353833934839922E-3</v>
      </c>
      <c r="E466" s="205">
        <f t="shared" si="205"/>
        <v>0.15368333935807924</v>
      </c>
      <c r="F466" s="215">
        <v>6216.52</v>
      </c>
      <c r="G466" s="168">
        <f t="shared" si="214"/>
        <v>-8.6629346936863724E-4</v>
      </c>
      <c r="H466" s="199">
        <f t="shared" si="220"/>
        <v>0.22091246538484213</v>
      </c>
      <c r="I466" s="217">
        <v>347339.95</v>
      </c>
      <c r="J466" s="170">
        <v>370000</v>
      </c>
      <c r="K466" s="170">
        <f t="shared" si="221"/>
        <v>1450.929999999993</v>
      </c>
      <c r="L466" s="168">
        <f t="shared" si="215"/>
        <v>4.4522211886733496E-3</v>
      </c>
      <c r="M466" s="178">
        <f t="shared" si="208"/>
        <v>-22660.049999999988</v>
      </c>
      <c r="N466" s="180">
        <f t="shared" si="217"/>
        <v>-6.1243378378378344E-2</v>
      </c>
      <c r="O466" s="179">
        <f t="shared" si="218"/>
        <v>-3.0475672960085409E-2</v>
      </c>
      <c r="P466" s="178" t="b">
        <f t="shared" si="209"/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si="222"/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199"/>
        <v>0.52789521294325603</v>
      </c>
      <c r="Y466" s="171">
        <f t="shared" si="200"/>
        <v>-9.7734682309088633E-2</v>
      </c>
      <c r="Z466" s="784">
        <f t="shared" si="201"/>
        <v>-0.21492671773645758</v>
      </c>
    </row>
    <row r="467" spans="1:26" ht="20.100000000000001" customHeight="1" x14ac:dyDescent="0.25">
      <c r="A467" s="160">
        <f t="shared" si="216"/>
        <v>736</v>
      </c>
      <c r="B467" s="169">
        <v>42969</v>
      </c>
      <c r="C467" s="211">
        <v>2452.5100000000002</v>
      </c>
      <c r="D467" s="168">
        <f t="shared" si="213"/>
        <v>1.1115004844262141E-2</v>
      </c>
      <c r="E467" s="205">
        <f t="shared" si="205"/>
        <v>0.16650653526378881</v>
      </c>
      <c r="F467" s="215">
        <v>6297.47</v>
      </c>
      <c r="G467" s="168">
        <f t="shared" si="214"/>
        <v>1.3021754936845665E-2</v>
      </c>
      <c r="H467" s="199">
        <f t="shared" si="220"/>
        <v>0.23681088830842362</v>
      </c>
      <c r="I467" s="217">
        <v>347918.93</v>
      </c>
      <c r="J467" s="170">
        <v>370000</v>
      </c>
      <c r="K467" s="170">
        <f t="shared" si="221"/>
        <v>578.97999999998137</v>
      </c>
      <c r="L467" s="168">
        <f t="shared" si="215"/>
        <v>1.6668972284932422E-3</v>
      </c>
      <c r="M467" s="178">
        <f t="shared" si="208"/>
        <v>-22081.070000000007</v>
      </c>
      <c r="N467" s="180">
        <f t="shared" si="217"/>
        <v>-5.9678567567567585E-2</v>
      </c>
      <c r="O467" s="179">
        <f t="shared" si="218"/>
        <v>-2.9616300005508238E-2</v>
      </c>
      <c r="P467" s="178" t="b">
        <f t="shared" si="209"/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si="222"/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199"/>
        <v>0.57014940841763584</v>
      </c>
      <c r="Y467" s="171">
        <f t="shared" si="200"/>
        <v>-9.5080667367544003E-2</v>
      </c>
      <c r="Z467" s="784">
        <f t="shared" si="201"/>
        <v>-0.2261851028313564</v>
      </c>
    </row>
    <row r="468" spans="1:26" ht="20.100000000000001" customHeight="1" x14ac:dyDescent="0.25">
      <c r="A468" s="160">
        <f t="shared" si="216"/>
        <v>739</v>
      </c>
      <c r="B468" s="169">
        <v>42972</v>
      </c>
      <c r="C468" s="211">
        <v>2443.0500000000002</v>
      </c>
      <c r="D468" s="168">
        <f t="shared" si="213"/>
        <v>-3.8572727532201847E-3</v>
      </c>
      <c r="E468" s="205">
        <f t="shared" si="205"/>
        <v>0.16200700138886251</v>
      </c>
      <c r="F468" s="215">
        <v>6265.64</v>
      </c>
      <c r="G468" s="168">
        <f t="shared" si="214"/>
        <v>-5.0544107395509505E-3</v>
      </c>
      <c r="H468" s="199">
        <f t="shared" si="220"/>
        <v>0.23055953807176396</v>
      </c>
      <c r="I468" s="217">
        <v>350194.37</v>
      </c>
      <c r="J468" s="170">
        <v>370000</v>
      </c>
      <c r="K468" s="170">
        <f t="shared" si="221"/>
        <v>2275.4400000000023</v>
      </c>
      <c r="L468" s="168">
        <f t="shared" si="215"/>
        <v>6.5401442801632046E-3</v>
      </c>
      <c r="M468" s="178">
        <f t="shared" si="208"/>
        <v>-19805.630000000005</v>
      </c>
      <c r="N468" s="180">
        <f t="shared" si="217"/>
        <v>-5.3528729729729739E-2</v>
      </c>
      <c r="O468" s="179">
        <f t="shared" si="218"/>
        <v>-2.6456520343415137E-2</v>
      </c>
      <c r="P468" s="178" t="b">
        <f t="shared" si="209"/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si="222"/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199"/>
        <v>0.55295757681420421</v>
      </c>
      <c r="Y468" s="171">
        <f t="shared" si="200"/>
        <v>-8.5018514968921113E-2</v>
      </c>
      <c r="Z468" s="784">
        <f t="shared" si="201"/>
        <v>-0.21553573111859226</v>
      </c>
    </row>
    <row r="469" spans="1:26" ht="20.100000000000001" customHeight="1" x14ac:dyDescent="0.25">
      <c r="A469" s="160">
        <f t="shared" si="216"/>
        <v>743</v>
      </c>
      <c r="B469" s="169">
        <v>42976</v>
      </c>
      <c r="C469" s="211">
        <v>2446.3000000000002</v>
      </c>
      <c r="D469" s="168">
        <f t="shared" si="213"/>
        <v>1.3303043326988804E-3</v>
      </c>
      <c r="E469" s="205">
        <f t="shared" si="205"/>
        <v>0.16355282433743656</v>
      </c>
      <c r="F469" s="215">
        <v>6301.88</v>
      </c>
      <c r="G469" s="168">
        <f t="shared" si="214"/>
        <v>5.7839263028197883E-3</v>
      </c>
      <c r="H469" s="199">
        <f t="shared" si="220"/>
        <v>0.23767700375120301</v>
      </c>
      <c r="I469" s="217">
        <v>348569.19</v>
      </c>
      <c r="J469" s="170">
        <v>370000</v>
      </c>
      <c r="K469" s="170">
        <f t="shared" si="221"/>
        <v>-1625.179999999993</v>
      </c>
      <c r="L469" s="168">
        <f t="shared" si="215"/>
        <v>-4.6407941966628216E-3</v>
      </c>
      <c r="M469" s="178">
        <f t="shared" si="208"/>
        <v>-21430.809999999998</v>
      </c>
      <c r="N469" s="180">
        <f t="shared" si="217"/>
        <v>-5.7921108108108105E-2</v>
      </c>
      <c r="O469" s="179">
        <f t="shared" si="218"/>
        <v>-2.847333073551344E-2</v>
      </c>
      <c r="P469" s="178" t="b">
        <f t="shared" si="209"/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si="222"/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199"/>
        <v>0.55581844136645131</v>
      </c>
      <c r="Y469" s="171">
        <f t="shared" si="200"/>
        <v>-9.1591776615150278E-2</v>
      </c>
      <c r="Z469" s="784">
        <f t="shared" si="201"/>
        <v>-0.22147393244554467</v>
      </c>
    </row>
    <row r="470" spans="1:26" ht="20.100000000000001" customHeight="1" x14ac:dyDescent="0.25">
      <c r="A470" s="160">
        <f t="shared" si="216"/>
        <v>744</v>
      </c>
      <c r="B470" s="169">
        <v>42977</v>
      </c>
      <c r="C470" s="211">
        <v>2457.59</v>
      </c>
      <c r="D470" s="168">
        <f t="shared" si="213"/>
        <v>4.6151330580877087E-3</v>
      </c>
      <c r="E470" s="205">
        <f t="shared" si="205"/>
        <v>0.1689227754418676</v>
      </c>
      <c r="F470" s="215">
        <v>6368.3</v>
      </c>
      <c r="G470" s="168">
        <f t="shared" si="214"/>
        <v>1.0539711958970984E-2</v>
      </c>
      <c r="H470" s="199">
        <f t="shared" si="220"/>
        <v>0.25072176286898296</v>
      </c>
      <c r="I470" s="217">
        <v>350684.01</v>
      </c>
      <c r="J470" s="170">
        <v>370000</v>
      </c>
      <c r="K470" s="170">
        <f t="shared" si="221"/>
        <v>2114.820000000007</v>
      </c>
      <c r="L470" s="168">
        <f t="shared" si="215"/>
        <v>6.0671455213812987E-3</v>
      </c>
      <c r="M470" s="178">
        <f t="shared" si="208"/>
        <v>-19315.989999999991</v>
      </c>
      <c r="N470" s="180">
        <f t="shared" si="217"/>
        <v>-5.2205378378378353E-2</v>
      </c>
      <c r="O470" s="179">
        <f t="shared" si="218"/>
        <v>-2.5629051683740179E-2</v>
      </c>
      <c r="P470" s="178" t="b">
        <f t="shared" si="209"/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si="222"/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199"/>
        <v>0.57377731788687758</v>
      </c>
      <c r="Y470" s="171">
        <f t="shared" si="200"/>
        <v>-8.2523022304220969E-2</v>
      </c>
      <c r="Z470" s="784">
        <f t="shared" si="201"/>
        <v>-0.22112815382024595</v>
      </c>
    </row>
    <row r="471" spans="1:26" ht="20.100000000000001" customHeight="1" x14ac:dyDescent="0.25">
      <c r="A471" s="160">
        <f t="shared" si="216"/>
        <v>745</v>
      </c>
      <c r="B471" s="169">
        <v>42978</v>
      </c>
      <c r="C471" s="211">
        <v>2471.65</v>
      </c>
      <c r="D471" s="168">
        <f t="shared" si="213"/>
        <v>5.7210519248531875E-3</v>
      </c>
      <c r="E471" s="205">
        <f t="shared" si="205"/>
        <v>0.175610243336314</v>
      </c>
      <c r="F471" s="215">
        <v>6428.66</v>
      </c>
      <c r="G471" s="168">
        <f t="shared" si="214"/>
        <v>9.4781966929949387E-3</v>
      </c>
      <c r="H471" s="199">
        <f t="shared" si="220"/>
        <v>0.26257634974566452</v>
      </c>
      <c r="I471" s="406">
        <v>352584.03</v>
      </c>
      <c r="J471" s="170">
        <v>370000</v>
      </c>
      <c r="K471" s="170">
        <f t="shared" si="221"/>
        <v>1900.0200000000186</v>
      </c>
      <c r="L471" s="168">
        <f t="shared" si="215"/>
        <v>5.4180400184200544E-3</v>
      </c>
      <c r="M471" s="406">
        <f t="shared" si="208"/>
        <v>-17415.969999999972</v>
      </c>
      <c r="N471" s="180">
        <f t="shared" si="217"/>
        <v>-4.7070189189189114E-2</v>
      </c>
      <c r="O471" s="179">
        <f t="shared" si="218"/>
        <v>-2.3077028995102448E-2</v>
      </c>
      <c r="P471" s="178" t="b">
        <f t="shared" si="209"/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si="222"/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199"/>
        <v>0.59610976408419181</v>
      </c>
      <c r="Y471" s="171">
        <f t="shared" si="200"/>
        <v>-7.4379744273624371E-2</v>
      </c>
      <c r="Z471" s="784">
        <f t="shared" si="201"/>
        <v>-0.22268043252550312</v>
      </c>
    </row>
    <row r="472" spans="1:26" ht="20.100000000000001" customHeight="1" x14ac:dyDescent="0.25">
      <c r="A472" s="160">
        <f t="shared" si="216"/>
        <v>746</v>
      </c>
      <c r="B472" s="169">
        <v>42979</v>
      </c>
      <c r="C472" s="211">
        <v>2476.5500000000002</v>
      </c>
      <c r="D472" s="168">
        <f t="shared" si="213"/>
        <v>1.9824813383772341E-3</v>
      </c>
      <c r="E472" s="205">
        <f t="shared" si="205"/>
        <v>0.17794086870493336</v>
      </c>
      <c r="F472" s="215">
        <v>6435.33</v>
      </c>
      <c r="G472" s="168">
        <f t="shared" si="214"/>
        <v>1.0375412605426438E-3</v>
      </c>
      <c r="H472" s="199">
        <f t="shared" si="220"/>
        <v>0.26388632480311097</v>
      </c>
      <c r="I472" s="217">
        <v>336954.37</v>
      </c>
      <c r="J472" s="170">
        <v>350000</v>
      </c>
      <c r="K472" s="170">
        <f t="shared" si="221"/>
        <v>4370.3399999999674</v>
      </c>
      <c r="L472" s="168">
        <f t="shared" si="215"/>
        <v>1.2395172861345895E-2</v>
      </c>
      <c r="M472" s="178">
        <f t="shared" si="208"/>
        <v>-13045.630000000005</v>
      </c>
      <c r="N472" s="180">
        <f t="shared" si="217"/>
        <v>-3.7273228571428584E-2</v>
      </c>
      <c r="O472" s="179">
        <f t="shared" si="218"/>
        <v>-1.8249392407123713E-2</v>
      </c>
      <c r="P472" s="178" t="b">
        <f t="shared" si="209"/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222"/>
        <v>45474.839999999967</v>
      </c>
      <c r="T472" s="170">
        <v>-52981</v>
      </c>
      <c r="U472" s="170">
        <f t="shared" ref="U472:U513" si="223">M472-T472</f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199"/>
        <v>0.60383570047443835</v>
      </c>
      <c r="Y472" s="171">
        <f t="shared" si="200"/>
        <v>-5.8858406465382505E-2</v>
      </c>
      <c r="Z472" s="784">
        <f t="shared" si="201"/>
        <v>-0.21521409727636195</v>
      </c>
    </row>
    <row r="473" spans="1:26" ht="20.100000000000001" customHeight="1" x14ac:dyDescent="0.25">
      <c r="A473" s="160">
        <f t="shared" si="216"/>
        <v>750</v>
      </c>
      <c r="B473" s="169">
        <v>42983</v>
      </c>
      <c r="C473" s="211">
        <v>2457.85</v>
      </c>
      <c r="D473" s="168">
        <f t="shared" si="213"/>
        <v>-7.5508267549616488E-3</v>
      </c>
      <c r="E473" s="205">
        <f t="shared" si="205"/>
        <v>0.1690464412777534</v>
      </c>
      <c r="F473" s="215">
        <v>6375.57</v>
      </c>
      <c r="G473" s="168">
        <f t="shared" si="214"/>
        <v>-9.2862370694277094E-3</v>
      </c>
      <c r="H473" s="199">
        <f t="shared" si="220"/>
        <v>0.25214957676218158</v>
      </c>
      <c r="I473" s="217">
        <v>336250.61</v>
      </c>
      <c r="J473" s="170">
        <v>350000</v>
      </c>
      <c r="K473" s="170">
        <f t="shared" si="221"/>
        <v>-703.76000000000931</v>
      </c>
      <c r="L473" s="168">
        <f t="shared" si="215"/>
        <v>-2.0885914018566056E-3</v>
      </c>
      <c r="M473" s="178">
        <f t="shared" si="208"/>
        <v>-13749.390000000014</v>
      </c>
      <c r="N473" s="180">
        <f t="shared" si="217"/>
        <v>-3.9283971428571471E-2</v>
      </c>
      <c r="O473" s="179">
        <f t="shared" si="218"/>
        <v>-1.9131294085714307E-2</v>
      </c>
      <c r="P473" s="178" t="b">
        <f t="shared" si="209"/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si="222"/>
        <v>40174.140000000014</v>
      </c>
      <c r="T473" s="170">
        <v>-52601</v>
      </c>
      <c r="U473" s="170">
        <f t="shared" si="223"/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199"/>
        <v>0.57073805113232579</v>
      </c>
      <c r="Y473" s="171">
        <f t="shared" si="200"/>
        <v>-6.1767506883004947E-2</v>
      </c>
      <c r="Z473" s="784">
        <f t="shared" si="201"/>
        <v>-0.20833041270632485</v>
      </c>
    </row>
    <row r="474" spans="1:26" ht="20.100000000000001" customHeight="1" x14ac:dyDescent="0.25">
      <c r="A474" s="160">
        <f t="shared" si="216"/>
        <v>751</v>
      </c>
      <c r="B474" s="169">
        <v>42984</v>
      </c>
      <c r="C474" s="211">
        <v>2465.54</v>
      </c>
      <c r="D474" s="168">
        <f t="shared" si="213"/>
        <v>3.128750737433145E-3</v>
      </c>
      <c r="E474" s="205">
        <f t="shared" si="205"/>
        <v>0.17270409619299476</v>
      </c>
      <c r="F474" s="215">
        <v>6393.31</v>
      </c>
      <c r="G474" s="168">
        <f t="shared" si="214"/>
        <v>2.7824963101339474E-3</v>
      </c>
      <c r="H474" s="199">
        <f t="shared" si="220"/>
        <v>0.25563367833925815</v>
      </c>
      <c r="I474" s="217">
        <v>342369.21</v>
      </c>
      <c r="J474" s="170">
        <v>350000</v>
      </c>
      <c r="K474" s="170">
        <f t="shared" si="221"/>
        <v>6118.6000000000349</v>
      </c>
      <c r="L474" s="168">
        <f t="shared" si="215"/>
        <v>1.8196546914814624E-2</v>
      </c>
      <c r="M474" s="178">
        <f t="shared" si="208"/>
        <v>-7630.789999999979</v>
      </c>
      <c r="N474" s="180">
        <f t="shared" si="217"/>
        <v>-2.1802257142857082E-2</v>
      </c>
      <c r="O474" s="179">
        <f t="shared" si="218"/>
        <v>-1.0603561147042008E-2</v>
      </c>
      <c r="P474" s="178" t="b">
        <f t="shared" si="209"/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si="222"/>
        <v>86976.560000000027</v>
      </c>
      <c r="T474" s="170">
        <v>-48637</v>
      </c>
      <c r="U474" s="170">
        <f t="shared" si="223"/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199"/>
        <v>0.58287291742606717</v>
      </c>
      <c r="Y474" s="171">
        <f t="shared" si="200"/>
        <v>-3.4240568013389899E-2</v>
      </c>
      <c r="Z474" s="784">
        <f t="shared" si="201"/>
        <v>-0.19450635333585184</v>
      </c>
    </row>
    <row r="475" spans="1:26" ht="20.100000000000001" customHeight="1" x14ac:dyDescent="0.25">
      <c r="A475" s="160">
        <f t="shared" si="216"/>
        <v>752</v>
      </c>
      <c r="B475" s="169">
        <v>42985</v>
      </c>
      <c r="C475" s="211">
        <v>2465.1</v>
      </c>
      <c r="D475" s="168">
        <f t="shared" si="213"/>
        <v>-1.7845989113948854E-4</v>
      </c>
      <c r="E475" s="205">
        <f t="shared" si="205"/>
        <v>0.17249481554764931</v>
      </c>
      <c r="F475" s="215">
        <v>6397.86</v>
      </c>
      <c r="G475" s="168">
        <f t="shared" si="214"/>
        <v>7.1168142949415436E-4</v>
      </c>
      <c r="H475" s="199">
        <f t="shared" si="220"/>
        <v>0.25652728951037962</v>
      </c>
      <c r="I475" s="217">
        <v>342957.79</v>
      </c>
      <c r="J475" s="170">
        <v>350000</v>
      </c>
      <c r="K475" s="170">
        <f t="shared" si="221"/>
        <v>588.57999999995809</v>
      </c>
      <c r="L475" s="168">
        <f t="shared" si="215"/>
        <v>1.7191382367589599E-3</v>
      </c>
      <c r="M475" s="178">
        <f t="shared" si="208"/>
        <v>-7042.210000000021</v>
      </c>
      <c r="N475" s="180">
        <f t="shared" si="217"/>
        <v>-2.0120600000000061E-2</v>
      </c>
      <c r="O475" s="179">
        <f t="shared" si="218"/>
        <v>-9.7726717420213056E-3</v>
      </c>
      <c r="P475" s="178" t="b">
        <f t="shared" si="209"/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si="222"/>
        <v>84729.229999999981</v>
      </c>
      <c r="T475" s="170">
        <v>-47786</v>
      </c>
      <c r="U475" s="170">
        <f t="shared" si="223"/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224">E475/(A475/365.25)/V475</f>
        <v>0.58200698201600387</v>
      </c>
      <c r="Y475" s="171">
        <f t="shared" ref="Y475:Y538" si="225">O475/W475</f>
        <v>-3.1590807569428198E-2</v>
      </c>
      <c r="Z475" s="784">
        <f t="shared" ref="Z475:Z538" si="226">-(E475-N475)</f>
        <v>-0.19261541554764938</v>
      </c>
    </row>
    <row r="476" spans="1:26" ht="20.100000000000001" customHeight="1" x14ac:dyDescent="0.25">
      <c r="A476" s="160">
        <f t="shared" si="216"/>
        <v>753</v>
      </c>
      <c r="B476" s="169">
        <v>42986</v>
      </c>
      <c r="C476" s="211">
        <v>2461.4299999999998</v>
      </c>
      <c r="D476" s="168">
        <f t="shared" si="213"/>
        <v>-1.4887834164942894E-3</v>
      </c>
      <c r="E476" s="205">
        <f t="shared" si="205"/>
        <v>0.17074922471033646</v>
      </c>
      <c r="F476" s="215">
        <v>6360.39</v>
      </c>
      <c r="G476" s="168">
        <f t="shared" si="214"/>
        <v>-5.8566458159446041E-3</v>
      </c>
      <c r="H476" s="199">
        <f t="shared" si="220"/>
        <v>0.24916825421764843</v>
      </c>
      <c r="I476" s="217">
        <v>335342.87</v>
      </c>
      <c r="J476" s="170">
        <v>350000</v>
      </c>
      <c r="K476" s="170">
        <f t="shared" si="221"/>
        <v>-7614.9199999999837</v>
      </c>
      <c r="L476" s="168">
        <f t="shared" si="215"/>
        <v>-2.2203665354853099E-2</v>
      </c>
      <c r="M476" s="178">
        <f t="shared" si="208"/>
        <v>-14657.130000000005</v>
      </c>
      <c r="N476" s="180">
        <f t="shared" si="217"/>
        <v>-4.1877514285714297E-2</v>
      </c>
      <c r="O476" s="179">
        <f t="shared" si="218"/>
        <v>-2.0313097068867393E-2</v>
      </c>
      <c r="P476" s="178" t="b">
        <f t="shared" si="209"/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si="222"/>
        <v>85352.239999999991</v>
      </c>
      <c r="T476" s="170">
        <v>-54714</v>
      </c>
      <c r="U476" s="170">
        <f t="shared" si="223"/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224"/>
        <v>0.57593554273886038</v>
      </c>
      <c r="Y476" s="171">
        <f t="shared" si="225"/>
        <v>-6.5640243827316494E-2</v>
      </c>
      <c r="Z476" s="784">
        <f t="shared" si="226"/>
        <v>-0.21262673899605075</v>
      </c>
    </row>
    <row r="477" spans="1:26" ht="20.100000000000001" customHeight="1" x14ac:dyDescent="0.25">
      <c r="A477" s="160">
        <f t="shared" si="216"/>
        <v>756</v>
      </c>
      <c r="B477" s="169">
        <v>42989</v>
      </c>
      <c r="C477" s="211">
        <v>2488.11</v>
      </c>
      <c r="D477" s="168">
        <f t="shared" si="213"/>
        <v>1.0839227603466397E-2</v>
      </c>
      <c r="E477" s="205">
        <f t="shared" si="205"/>
        <v>0.18343924202355361</v>
      </c>
      <c r="F477" s="215">
        <v>6432.26</v>
      </c>
      <c r="G477" s="168">
        <f t="shared" si="214"/>
        <v>1.1299621564086461E-2</v>
      </c>
      <c r="H477" s="199">
        <f t="shared" si="220"/>
        <v>0.26328338276017843</v>
      </c>
      <c r="I477" s="217">
        <v>339751.59</v>
      </c>
      <c r="J477" s="170">
        <v>350000</v>
      </c>
      <c r="K477" s="170">
        <f t="shared" si="221"/>
        <v>4408.7200000000303</v>
      </c>
      <c r="L477" s="168">
        <f t="shared" si="215"/>
        <v>1.3146902452406489E-2</v>
      </c>
      <c r="M477" s="178">
        <f t="shared" si="208"/>
        <v>-10248.409999999974</v>
      </c>
      <c r="N477" s="180">
        <f t="shared" si="217"/>
        <v>-2.9281171428571354E-2</v>
      </c>
      <c r="O477" s="179">
        <f t="shared" si="218"/>
        <v>-1.4146756434240326E-2</v>
      </c>
      <c r="P477" s="178" t="b">
        <f t="shared" si="209"/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si="222"/>
        <v>96033.47000000003</v>
      </c>
      <c r="T477" s="170">
        <v>-52678</v>
      </c>
      <c r="U477" s="170">
        <f t="shared" si="223"/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224"/>
        <v>0.6160679046184423</v>
      </c>
      <c r="Y477" s="171">
        <f t="shared" si="225"/>
        <v>-4.574146736857939E-2</v>
      </c>
      <c r="Z477" s="784">
        <f t="shared" si="226"/>
        <v>-0.21272041345212495</v>
      </c>
    </row>
    <row r="478" spans="1:26" ht="20.100000000000001" customHeight="1" x14ac:dyDescent="0.25">
      <c r="A478" s="160">
        <f t="shared" si="216"/>
        <v>757</v>
      </c>
      <c r="B478" s="169">
        <v>42990</v>
      </c>
      <c r="C478" s="211">
        <v>2496.48</v>
      </c>
      <c r="D478" s="168">
        <f t="shared" si="213"/>
        <v>3.3639991801005143E-3</v>
      </c>
      <c r="E478" s="205">
        <f t="shared" si="205"/>
        <v>0.18742033066341962</v>
      </c>
      <c r="F478" s="215">
        <v>6454.28</v>
      </c>
      <c r="G478" s="168">
        <f t="shared" si="214"/>
        <v>3.4233690802298921E-3</v>
      </c>
      <c r="H478" s="199">
        <f t="shared" si="220"/>
        <v>0.26760806803228782</v>
      </c>
      <c r="I478" s="217">
        <v>342729.25</v>
      </c>
      <c r="J478" s="170">
        <v>350000</v>
      </c>
      <c r="K478" s="170">
        <f t="shared" si="221"/>
        <v>2977.6599999999744</v>
      </c>
      <c r="L478" s="168">
        <f t="shared" si="215"/>
        <v>8.7642268281951947E-3</v>
      </c>
      <c r="M478" s="178">
        <f t="shared" si="208"/>
        <v>-7270.75</v>
      </c>
      <c r="N478" s="180">
        <f t="shared" si="217"/>
        <v>-2.0773571428571429E-2</v>
      </c>
      <c r="O478" s="179">
        <f t="shared" si="218"/>
        <v>-1.0023179609360257E-2</v>
      </c>
      <c r="P478" s="178" t="b">
        <f t="shared" si="209"/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si="222"/>
        <v>99441.390000000014</v>
      </c>
      <c r="T478" s="170">
        <v>-50978</v>
      </c>
      <c r="U478" s="170">
        <f t="shared" si="223"/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224"/>
        <v>0.62919829818008466</v>
      </c>
      <c r="Y478" s="171">
        <f t="shared" si="225"/>
        <v>-3.2436223015335816E-2</v>
      </c>
      <c r="Z478" s="784">
        <f t="shared" si="226"/>
        <v>-0.20819390209199104</v>
      </c>
    </row>
    <row r="479" spans="1:26" ht="20.100000000000001" customHeight="1" x14ac:dyDescent="0.25">
      <c r="A479" s="160">
        <f t="shared" si="216"/>
        <v>758</v>
      </c>
      <c r="B479" s="169">
        <v>42991</v>
      </c>
      <c r="C479" s="211">
        <v>2498.37</v>
      </c>
      <c r="D479" s="168">
        <f t="shared" si="213"/>
        <v>7.5706594885593817E-4</v>
      </c>
      <c r="E479" s="205">
        <f t="shared" si="205"/>
        <v>0.18831928616274415</v>
      </c>
      <c r="F479" s="215">
        <v>6460.18</v>
      </c>
      <c r="G479" s="168">
        <f t="shared" si="214"/>
        <v>9.1412210192314957E-4</v>
      </c>
      <c r="H479" s="199">
        <f t="shared" si="220"/>
        <v>0.26876681658385226</v>
      </c>
      <c r="I479" s="217">
        <v>346163.11</v>
      </c>
      <c r="J479" s="170">
        <v>350000</v>
      </c>
      <c r="K479" s="170">
        <f t="shared" si="221"/>
        <v>3433.859999999986</v>
      </c>
      <c r="L479" s="168">
        <f t="shared" si="215"/>
        <v>1.0019162356291404E-2</v>
      </c>
      <c r="M479" s="178">
        <f t="shared" si="208"/>
        <v>-3836.890000000014</v>
      </c>
      <c r="N479" s="180">
        <f t="shared" si="217"/>
        <v>-1.0962542857142897E-2</v>
      </c>
      <c r="O479" s="179">
        <f t="shared" si="218"/>
        <v>-5.2824126366377878E-3</v>
      </c>
      <c r="P479" s="178" t="b">
        <f t="shared" si="209"/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si="222"/>
        <v>109362.65999999997</v>
      </c>
      <c r="T479" s="170">
        <v>-48114</v>
      </c>
      <c r="U479" s="170">
        <f t="shared" si="223"/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224"/>
        <v>0.63204540986420232</v>
      </c>
      <c r="Y479" s="171">
        <f t="shared" si="225"/>
        <v>-1.7108057085203882E-2</v>
      </c>
      <c r="Z479" s="784">
        <f t="shared" si="226"/>
        <v>-0.19928182901988706</v>
      </c>
    </row>
    <row r="480" spans="1:26" ht="20.100000000000001" customHeight="1" x14ac:dyDescent="0.25">
      <c r="A480" s="160">
        <f t="shared" si="216"/>
        <v>759</v>
      </c>
      <c r="B480" s="169">
        <v>42992</v>
      </c>
      <c r="C480" s="211">
        <v>2495.62</v>
      </c>
      <c r="D480" s="168">
        <f t="shared" si="213"/>
        <v>-1.1007176679194836E-3</v>
      </c>
      <c r="E480" s="205">
        <f t="shared" si="205"/>
        <v>0.18701128212933535</v>
      </c>
      <c r="F480" s="215">
        <v>6429.08</v>
      </c>
      <c r="G480" s="168">
        <f t="shared" si="214"/>
        <v>-4.8141073468541684E-3</v>
      </c>
      <c r="H480" s="199">
        <f t="shared" si="220"/>
        <v>0.26265883693069114</v>
      </c>
      <c r="I480" s="217">
        <v>344939.43</v>
      </c>
      <c r="J480" s="170">
        <v>350000</v>
      </c>
      <c r="K480" s="170">
        <f t="shared" si="221"/>
        <v>-1223.679999999993</v>
      </c>
      <c r="L480" s="168">
        <f t="shared" si="215"/>
        <v>-3.5349809516097572E-3</v>
      </c>
      <c r="M480" s="178">
        <f t="shared" si="208"/>
        <v>-5060.570000000007</v>
      </c>
      <c r="N480" s="180">
        <f t="shared" si="217"/>
        <v>-1.4458771428571448E-2</v>
      </c>
      <c r="O480" s="179">
        <f t="shared" si="218"/>
        <v>-6.9579265669113587E-3</v>
      </c>
      <c r="P480" s="178" t="b">
        <f t="shared" si="209"/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si="222"/>
        <v>109362.66</v>
      </c>
      <c r="T480" s="170">
        <v>-48830</v>
      </c>
      <c r="U480" s="170">
        <f t="shared" si="223"/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224"/>
        <v>0.62746839682357036</v>
      </c>
      <c r="Y480" s="171">
        <f t="shared" si="225"/>
        <v>-2.2557231029071877E-2</v>
      </c>
      <c r="Z480" s="784">
        <f t="shared" si="226"/>
        <v>-0.20147005355790679</v>
      </c>
    </row>
    <row r="481" spans="1:26" ht="20.100000000000001" customHeight="1" x14ac:dyDescent="0.25">
      <c r="A481" s="160">
        <f t="shared" si="216"/>
        <v>760</v>
      </c>
      <c r="B481" s="169">
        <v>42993</v>
      </c>
      <c r="C481" s="211">
        <v>2500.23</v>
      </c>
      <c r="D481" s="168">
        <f t="shared" si="213"/>
        <v>1.8472363580994413E-3</v>
      </c>
      <c r="E481" s="205">
        <f t="shared" si="205"/>
        <v>0.1892039725271589</v>
      </c>
      <c r="F481" s="215">
        <v>6448.66</v>
      </c>
      <c r="G481" s="168">
        <f t="shared" si="214"/>
        <v>3.0455368419742682E-3</v>
      </c>
      <c r="H481" s="199">
        <f t="shared" si="220"/>
        <v>0.26650431093740795</v>
      </c>
      <c r="I481" s="217">
        <v>346855.18</v>
      </c>
      <c r="J481" s="170">
        <v>350000</v>
      </c>
      <c r="K481" s="170">
        <f t="shared" si="221"/>
        <v>1915.75</v>
      </c>
      <c r="L481" s="168">
        <f t="shared" si="215"/>
        <v>5.5538736177537023E-3</v>
      </c>
      <c r="M481" s="178">
        <f t="shared" si="208"/>
        <v>-3144.820000000007</v>
      </c>
      <c r="N481" s="180">
        <f t="shared" si="217"/>
        <v>-8.9852000000000196E-3</v>
      </c>
      <c r="O481" s="179">
        <f t="shared" si="218"/>
        <v>-4.3182161842105363E-3</v>
      </c>
      <c r="P481" s="178" t="b">
        <f t="shared" si="209"/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si="222"/>
        <v>102716.56</v>
      </c>
      <c r="T481" s="170">
        <v>-47636</v>
      </c>
      <c r="U481" s="170">
        <f t="shared" si="223"/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224"/>
        <v>0.63463727453909613</v>
      </c>
      <c r="Y481" s="171">
        <f t="shared" si="225"/>
        <v>-1.4013040194897561E-2</v>
      </c>
      <c r="Z481" s="784">
        <f t="shared" si="226"/>
        <v>-0.19818917252715892</v>
      </c>
    </row>
    <row r="482" spans="1:26" ht="20.100000000000001" customHeight="1" x14ac:dyDescent="0.25">
      <c r="A482" s="160">
        <f t="shared" si="216"/>
        <v>763</v>
      </c>
      <c r="B482" s="169">
        <v>42996</v>
      </c>
      <c r="C482" s="211">
        <v>2503.87</v>
      </c>
      <c r="D482" s="168">
        <f t="shared" si="213"/>
        <v>1.4558660603223993E-3</v>
      </c>
      <c r="E482" s="205">
        <f t="shared" si="205"/>
        <v>0.19093529422956176</v>
      </c>
      <c r="F482" s="215">
        <v>6454.63</v>
      </c>
      <c r="G482" s="168">
        <f t="shared" si="214"/>
        <v>9.2577372663472024E-4</v>
      </c>
      <c r="H482" s="199">
        <f t="shared" si="220"/>
        <v>0.26767680735314342</v>
      </c>
      <c r="I482" s="217">
        <v>347277.37</v>
      </c>
      <c r="J482" s="170">
        <v>350000</v>
      </c>
      <c r="K482" s="170">
        <f t="shared" si="221"/>
        <v>422.19000000000233</v>
      </c>
      <c r="L482" s="168">
        <f t="shared" si="215"/>
        <v>1.217193873247049E-3</v>
      </c>
      <c r="M482" s="178">
        <f t="shared" si="208"/>
        <v>-2722.6300000000047</v>
      </c>
      <c r="N482" s="180">
        <f t="shared" si="217"/>
        <v>-7.7789428571428702E-3</v>
      </c>
      <c r="O482" s="179">
        <f t="shared" si="218"/>
        <v>-3.7237993166073834E-3</v>
      </c>
      <c r="P482" s="178" t="b">
        <f t="shared" si="209"/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si="222"/>
        <v>101670.94999999998</v>
      </c>
      <c r="T482" s="170">
        <v>-47720</v>
      </c>
      <c r="U482" s="170">
        <f t="shared" si="223"/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224"/>
        <v>0.63858428573753245</v>
      </c>
      <c r="Y482" s="171">
        <f t="shared" si="225"/>
        <v>-1.2096706911903963E-2</v>
      </c>
      <c r="Z482" s="784">
        <f t="shared" si="226"/>
        <v>-0.19871423708670463</v>
      </c>
    </row>
    <row r="483" spans="1:26" ht="20.100000000000001" customHeight="1" x14ac:dyDescent="0.25">
      <c r="A483" s="160">
        <f t="shared" si="216"/>
        <v>764</v>
      </c>
      <c r="B483" s="169">
        <v>42997</v>
      </c>
      <c r="C483" s="211">
        <v>2506.65</v>
      </c>
      <c r="D483" s="168">
        <f t="shared" si="213"/>
        <v>1.1102812845715632E-3</v>
      </c>
      <c r="E483" s="205">
        <f t="shared" si="205"/>
        <v>0.19225756739788058</v>
      </c>
      <c r="F483" s="215">
        <v>6461.32</v>
      </c>
      <c r="G483" s="168">
        <f t="shared" si="214"/>
        <v>1.036465297003794E-3</v>
      </c>
      <c r="H483" s="199">
        <f t="shared" si="220"/>
        <v>0.26899071037178152</v>
      </c>
      <c r="I483" s="217">
        <v>345709.56</v>
      </c>
      <c r="J483" s="170">
        <v>350000</v>
      </c>
      <c r="K483" s="170">
        <f t="shared" si="221"/>
        <v>-1567.8099999999977</v>
      </c>
      <c r="L483" s="168">
        <f t="shared" si="215"/>
        <v>-4.5145757697946098E-3</v>
      </c>
      <c r="M483" s="178">
        <f t="shared" si="208"/>
        <v>-4290.4400000000023</v>
      </c>
      <c r="N483" s="180">
        <f t="shared" si="217"/>
        <v>-1.2258400000000006E-2</v>
      </c>
      <c r="O483" s="179">
        <f t="shared" si="218"/>
        <v>-5.8604458115183271E-3</v>
      </c>
      <c r="P483" s="178" t="b">
        <f t="shared" si="209"/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si="222"/>
        <v>99467.32</v>
      </c>
      <c r="T483" s="170">
        <v>-48500</v>
      </c>
      <c r="U483" s="170">
        <f t="shared" si="223"/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224"/>
        <v>0.64283087183905108</v>
      </c>
      <c r="Y483" s="171">
        <f t="shared" si="225"/>
        <v>-1.9056183238630692E-2</v>
      </c>
      <c r="Z483" s="784">
        <f t="shared" si="226"/>
        <v>-0.20451596739788058</v>
      </c>
    </row>
    <row r="484" spans="1:26" ht="20.100000000000001" customHeight="1" x14ac:dyDescent="0.25">
      <c r="A484" s="160">
        <f t="shared" si="216"/>
        <v>765</v>
      </c>
      <c r="B484" s="169">
        <v>42998</v>
      </c>
      <c r="C484" s="211">
        <v>2508.2399999999998</v>
      </c>
      <c r="D484" s="168">
        <f t="shared" ref="D484:D490" si="227">(C484-C483)/C483</f>
        <v>6.3431272814301587E-4</v>
      </c>
      <c r="E484" s="205">
        <f t="shared" si="205"/>
        <v>0.19301383154810586</v>
      </c>
      <c r="F484" s="215">
        <v>6456.04</v>
      </c>
      <c r="G484" s="168">
        <f t="shared" ref="G484:G490" si="228">(F484-F483)/F483</f>
        <v>-8.1717048528779659E-4</v>
      </c>
      <c r="H484" s="199">
        <f t="shared" ref="H484:H489" si="229">(F484-F$2)/F$2</f>
        <v>0.26795372861716132</v>
      </c>
      <c r="I484" s="217">
        <v>347542.31</v>
      </c>
      <c r="J484" s="170">
        <v>350000</v>
      </c>
      <c r="K484" s="170">
        <f t="shared" ref="K484:K489" si="230">I484-I483-J484+J483</f>
        <v>1832.75</v>
      </c>
      <c r="L484" s="168">
        <f t="shared" ref="L484:L489" si="231">K484/I483</f>
        <v>5.3014154424887759E-3</v>
      </c>
      <c r="M484" s="178">
        <f t="shared" si="208"/>
        <v>-2457.6900000000023</v>
      </c>
      <c r="N484" s="180">
        <f t="shared" si="217"/>
        <v>-7.0219714285714354E-3</v>
      </c>
      <c r="O484" s="179">
        <f t="shared" si="218"/>
        <v>-3.3526471428571456E-3</v>
      </c>
      <c r="P484" s="178" t="b">
        <f t="shared" si="209"/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si="222"/>
        <v>85573.22</v>
      </c>
      <c r="T484" s="170">
        <v>-45800</v>
      </c>
      <c r="U484" s="170">
        <f t="shared" si="223"/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224"/>
        <v>0.64518649413544193</v>
      </c>
      <c r="Y484" s="171">
        <f t="shared" si="225"/>
        <v>-1.0912278565449038E-2</v>
      </c>
      <c r="Z484" s="784">
        <f t="shared" si="226"/>
        <v>-0.20003580297667731</v>
      </c>
    </row>
    <row r="485" spans="1:26" ht="20.100000000000001" customHeight="1" x14ac:dyDescent="0.25">
      <c r="A485" s="160">
        <f t="shared" si="216"/>
        <v>766</v>
      </c>
      <c r="B485" s="169">
        <v>42999</v>
      </c>
      <c r="C485" s="211">
        <v>2500.6</v>
      </c>
      <c r="D485" s="168">
        <f t="shared" si="227"/>
        <v>-3.0459605141453265E-3</v>
      </c>
      <c r="E485" s="205">
        <f t="shared" si="205"/>
        <v>0.18937995852438111</v>
      </c>
      <c r="F485" s="215">
        <v>6422.69</v>
      </c>
      <c r="G485" s="168">
        <f t="shared" si="228"/>
        <v>-5.1657052930279808E-3</v>
      </c>
      <c r="H485" s="199">
        <f t="shared" si="229"/>
        <v>0.26140385332992905</v>
      </c>
      <c r="I485" s="217">
        <v>348466.58</v>
      </c>
      <c r="J485" s="170">
        <v>350000</v>
      </c>
      <c r="K485" s="170">
        <f t="shared" si="230"/>
        <v>924.27000000001863</v>
      </c>
      <c r="L485" s="168">
        <f t="shared" si="231"/>
        <v>2.6594459822748447E-3</v>
      </c>
      <c r="M485" s="178">
        <f t="shared" si="208"/>
        <v>-1533.4199999999837</v>
      </c>
      <c r="N485" s="180">
        <f t="shared" si="217"/>
        <v>-4.3811999999999532E-3</v>
      </c>
      <c r="O485" s="179">
        <f t="shared" si="218"/>
        <v>-2.0890774151435805E-3</v>
      </c>
      <c r="P485" s="178" t="b">
        <f t="shared" si="209"/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si="222"/>
        <v>81523.22000000003</v>
      </c>
      <c r="T485" s="170">
        <v>-44486</v>
      </c>
      <c r="U485" s="170">
        <f t="shared" si="223"/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224"/>
        <v>0.63277334864767631</v>
      </c>
      <c r="Y485" s="171">
        <f t="shared" si="225"/>
        <v>-6.8065447976934489E-3</v>
      </c>
      <c r="Z485" s="784">
        <f t="shared" si="226"/>
        <v>-0.19376115852438106</v>
      </c>
    </row>
    <row r="486" spans="1:26" ht="20.100000000000001" customHeight="1" x14ac:dyDescent="0.25">
      <c r="A486" s="160">
        <f t="shared" si="216"/>
        <v>767</v>
      </c>
      <c r="B486" s="169">
        <v>43000</v>
      </c>
      <c r="C486" s="211">
        <v>2502.2199999999998</v>
      </c>
      <c r="D486" s="168">
        <f t="shared" si="227"/>
        <v>6.4784451731580062E-4</v>
      </c>
      <c r="E486" s="205">
        <f t="shared" si="205"/>
        <v>0.19015049180951643</v>
      </c>
      <c r="F486" s="215">
        <v>6426.92</v>
      </c>
      <c r="G486" s="168">
        <f t="shared" si="228"/>
        <v>6.586025481535732E-4</v>
      </c>
      <c r="H486" s="199">
        <f t="shared" si="229"/>
        <v>0.26223461712198287</v>
      </c>
      <c r="I486" s="217">
        <v>349263.92</v>
      </c>
      <c r="J486" s="170">
        <v>350000</v>
      </c>
      <c r="K486" s="170">
        <f t="shared" si="230"/>
        <v>797.3399999999674</v>
      </c>
      <c r="L486" s="168">
        <f t="shared" si="231"/>
        <v>2.2881390806543554E-3</v>
      </c>
      <c r="M486" s="178">
        <f t="shared" si="208"/>
        <v>-736.0800000000163</v>
      </c>
      <c r="N486" s="180">
        <f t="shared" si="217"/>
        <v>-2.1030857142857609E-3</v>
      </c>
      <c r="O486" s="179">
        <f t="shared" si="218"/>
        <v>-1.0015020301732387E-3</v>
      </c>
      <c r="P486" s="178" t="b">
        <f t="shared" si="209"/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si="222"/>
        <v>94552.919999999984</v>
      </c>
      <c r="T486" s="170">
        <v>-44478</v>
      </c>
      <c r="U486" s="170">
        <f t="shared" si="223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224"/>
        <v>0.63517694122035828</v>
      </c>
      <c r="Y486" s="171">
        <f t="shared" si="225"/>
        <v>-3.2664015031647043E-3</v>
      </c>
      <c r="Z486" s="784">
        <f t="shared" si="226"/>
        <v>-0.1922535775238022</v>
      </c>
    </row>
    <row r="487" spans="1:26" ht="20.100000000000001" customHeight="1" x14ac:dyDescent="0.25">
      <c r="A487" s="160">
        <f t="shared" si="216"/>
        <v>768</v>
      </c>
      <c r="B487" s="169">
        <v>43001</v>
      </c>
      <c r="C487" s="211">
        <v>2496.66</v>
      </c>
      <c r="D487" s="168">
        <f t="shared" si="227"/>
        <v>-2.222026840165911E-3</v>
      </c>
      <c r="E487" s="205">
        <f t="shared" si="205"/>
        <v>0.18750594547287902</v>
      </c>
      <c r="F487" s="215">
        <v>6370.59</v>
      </c>
      <c r="G487" s="168">
        <f t="shared" si="228"/>
        <v>-8.764695997460669E-3</v>
      </c>
      <c r="H487" s="199">
        <f t="shared" si="229"/>
        <v>0.25117151442543756</v>
      </c>
      <c r="I487" s="217">
        <v>353035.89</v>
      </c>
      <c r="J487" s="170">
        <v>350000</v>
      </c>
      <c r="K487" s="170">
        <f t="shared" si="230"/>
        <v>3771.9700000000303</v>
      </c>
      <c r="L487" s="168">
        <f t="shared" si="231"/>
        <v>1.0799769984829897E-2</v>
      </c>
      <c r="M487" s="178">
        <f t="shared" si="208"/>
        <v>3035.890000000014</v>
      </c>
      <c r="N487" s="180">
        <f t="shared" si="217"/>
        <v>8.6739714285714691E-3</v>
      </c>
      <c r="O487" s="179">
        <f t="shared" si="218"/>
        <v>4.1252188337053764E-3</v>
      </c>
      <c r="P487" s="178" t="b">
        <f t="shared" si="209"/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si="222"/>
        <v>94552.920000000013</v>
      </c>
      <c r="T487" s="170">
        <v>-44802</v>
      </c>
      <c r="U487" s="170">
        <f t="shared" si="223"/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224"/>
        <v>0.62611964870394943</v>
      </c>
      <c r="Y487" s="171">
        <f t="shared" si="225"/>
        <v>1.3464270197226024E-2</v>
      </c>
      <c r="Z487" s="784">
        <f t="shared" si="226"/>
        <v>-0.17883197404430756</v>
      </c>
    </row>
    <row r="488" spans="1:26" ht="20.100000000000001" customHeight="1" x14ac:dyDescent="0.25">
      <c r="A488" s="160">
        <f t="shared" si="216"/>
        <v>771</v>
      </c>
      <c r="B488" s="169">
        <v>43004</v>
      </c>
      <c r="C488" s="211">
        <v>2496.84</v>
      </c>
      <c r="D488" s="168">
        <f t="shared" si="227"/>
        <v>7.2096320684550985E-5</v>
      </c>
      <c r="E488" s="205">
        <f t="shared" si="205"/>
        <v>0.18759156028233864</v>
      </c>
      <c r="F488" s="215">
        <v>6380.16</v>
      </c>
      <c r="G488" s="168">
        <f t="shared" si="228"/>
        <v>1.5022156503557299E-3</v>
      </c>
      <c r="H488" s="199">
        <f t="shared" si="229"/>
        <v>0.25305104385568672</v>
      </c>
      <c r="I488" s="217">
        <v>354979.17</v>
      </c>
      <c r="J488" s="170">
        <v>350000</v>
      </c>
      <c r="K488" s="170">
        <f t="shared" si="230"/>
        <v>1943.2799999999697</v>
      </c>
      <c r="L488" s="168">
        <f t="shared" si="231"/>
        <v>5.5044828445061766E-3</v>
      </c>
      <c r="M488" s="178">
        <f t="shared" si="208"/>
        <v>4979.1699999999837</v>
      </c>
      <c r="N488" s="180">
        <f t="shared" si="217"/>
        <v>1.4226199999999953E-2</v>
      </c>
      <c r="O488" s="179">
        <f t="shared" si="218"/>
        <v>6.7394546692606779E-3</v>
      </c>
      <c r="P488" s="178" t="b">
        <f t="shared" si="209"/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si="222"/>
        <v>98518.829999999987</v>
      </c>
      <c r="T488" s="170">
        <v>-44286</v>
      </c>
      <c r="U488" s="170">
        <f t="shared" si="223"/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224"/>
        <v>0.62461158910859371</v>
      </c>
      <c r="Y488" s="171">
        <f t="shared" si="225"/>
        <v>2.2017968039975806E-2</v>
      </c>
      <c r="Z488" s="784">
        <f t="shared" si="226"/>
        <v>-0.17336536028233868</v>
      </c>
    </row>
    <row r="489" spans="1:26" ht="20.100000000000001" customHeight="1" x14ac:dyDescent="0.25">
      <c r="A489" s="160">
        <f t="shared" si="216"/>
        <v>772</v>
      </c>
      <c r="B489" s="169">
        <v>43005</v>
      </c>
      <c r="C489" s="211">
        <v>2507.2399999999998</v>
      </c>
      <c r="D489" s="168">
        <f t="shared" si="227"/>
        <v>4.1652648948269158E-3</v>
      </c>
      <c r="E489" s="205">
        <f t="shared" si="205"/>
        <v>0.19253819371777539</v>
      </c>
      <c r="F489" s="215">
        <v>6453.26</v>
      </c>
      <c r="G489" s="168">
        <f t="shared" si="228"/>
        <v>1.1457392918045999E-2</v>
      </c>
      <c r="H489" s="199">
        <f t="shared" si="229"/>
        <v>0.26740774201150902</v>
      </c>
      <c r="I489" s="217">
        <v>358361.96</v>
      </c>
      <c r="J489" s="170">
        <v>350000</v>
      </c>
      <c r="K489" s="170">
        <f t="shared" si="230"/>
        <v>3382.7900000000373</v>
      </c>
      <c r="L489" s="168">
        <f t="shared" si="231"/>
        <v>9.5295450716165603E-3</v>
      </c>
      <c r="M489" s="178">
        <f t="shared" si="208"/>
        <v>8361.960000000021</v>
      </c>
      <c r="N489" s="180">
        <f t="shared" si="217"/>
        <v>2.3891314285714345E-2</v>
      </c>
      <c r="O489" s="179">
        <f t="shared" si="218"/>
        <v>1.1303500703182855E-2</v>
      </c>
      <c r="P489" s="178" t="b">
        <f t="shared" si="209"/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si="222"/>
        <v>114852.25000000003</v>
      </c>
      <c r="T489" s="170">
        <v>-44153</v>
      </c>
      <c r="U489" s="170">
        <f t="shared" si="223"/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224"/>
        <v>0.64079465177745243</v>
      </c>
      <c r="Y489" s="171">
        <f t="shared" si="225"/>
        <v>3.6958335875091897E-2</v>
      </c>
      <c r="Z489" s="784">
        <f t="shared" si="226"/>
        <v>-0.16864687943206105</v>
      </c>
    </row>
    <row r="490" spans="1:26" ht="20.100000000000001" customHeight="1" x14ac:dyDescent="0.25">
      <c r="A490" s="160">
        <f t="shared" si="216"/>
        <v>773</v>
      </c>
      <c r="B490" s="169">
        <v>43006</v>
      </c>
      <c r="C490" s="211">
        <v>2510.06</v>
      </c>
      <c r="D490" s="168">
        <f t="shared" si="227"/>
        <v>1.1247427450105151E-3</v>
      </c>
      <c r="E490" s="205">
        <f t="shared" ref="E490:E553" si="232">(C490-$C$2)/$C$2</f>
        <v>0.19387949239930741</v>
      </c>
      <c r="F490" s="215">
        <v>6453.45</v>
      </c>
      <c r="G490" s="168">
        <f t="shared" si="228"/>
        <v>2.9442483333942816E-5</v>
      </c>
      <c r="H490" s="199">
        <f t="shared" ref="H490:H525" si="233">(F490-F$2)/F$2</f>
        <v>0.2674450576428305</v>
      </c>
      <c r="I490" s="217">
        <v>356533.28</v>
      </c>
      <c r="J490" s="170">
        <v>350000</v>
      </c>
      <c r="K490" s="170">
        <f t="shared" ref="K490:K525" si="234">I490-I489-J490+J489</f>
        <v>-1828.679999999993</v>
      </c>
      <c r="L490" s="168">
        <f t="shared" ref="L490:L524" si="235">K490/I489</f>
        <v>-5.1028853620512429E-3</v>
      </c>
      <c r="M490" s="178">
        <f t="shared" ref="M490:M553" si="236">I490-J490</f>
        <v>6533.2800000000279</v>
      </c>
      <c r="N490" s="180">
        <f t="shared" si="217"/>
        <v>1.8666514285714364E-2</v>
      </c>
      <c r="O490" s="179">
        <f t="shared" si="218"/>
        <v>8.8201091110700798E-3</v>
      </c>
      <c r="P490" s="178" t="b">
        <f t="shared" ref="P490:P553" si="237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:S521" si="238">I490-R490</f>
        <v>110835.00000000003</v>
      </c>
      <c r="T490" s="170">
        <v>-44103</v>
      </c>
      <c r="U490" s="170">
        <f t="shared" si="223"/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224"/>
        <v>0.64508226736911156</v>
      </c>
      <c r="Y490" s="171">
        <f t="shared" si="225"/>
        <v>2.8865774978625563E-2</v>
      </c>
      <c r="Z490" s="784">
        <f t="shared" si="226"/>
        <v>-0.17521297811359304</v>
      </c>
    </row>
    <row r="491" spans="1:26" ht="20.100000000000001" customHeight="1" x14ac:dyDescent="0.25">
      <c r="A491" s="160">
        <f t="shared" si="216"/>
        <v>774</v>
      </c>
      <c r="B491" s="169">
        <v>43007</v>
      </c>
      <c r="C491" s="211">
        <v>2519.36</v>
      </c>
      <c r="D491" s="168">
        <f t="shared" ref="D491:D525" si="239">(C491-C490)/C490</f>
        <v>3.7050907149630613E-3</v>
      </c>
      <c r="E491" s="205">
        <f t="shared" si="232"/>
        <v>0.19830292422138091</v>
      </c>
      <c r="F491" s="215">
        <v>6495.95</v>
      </c>
      <c r="G491" s="168">
        <f t="shared" ref="G491:G525" si="240">(F491-F490)/F490</f>
        <v>6.5856247433543303E-3</v>
      </c>
      <c r="H491" s="199">
        <f t="shared" si="233"/>
        <v>0.27579197517528525</v>
      </c>
      <c r="I491" s="462">
        <v>356859.34</v>
      </c>
      <c r="J491" s="170">
        <v>350000</v>
      </c>
      <c r="K491" s="170">
        <f t="shared" si="234"/>
        <v>326.05999999999767</v>
      </c>
      <c r="L491" s="168">
        <f t="shared" si="235"/>
        <v>9.1452893261464302E-4</v>
      </c>
      <c r="M491" s="462">
        <f t="shared" si="236"/>
        <v>6859.3400000000256</v>
      </c>
      <c r="N491" s="180">
        <f t="shared" si="217"/>
        <v>1.9598114285714358E-2</v>
      </c>
      <c r="O491" s="179">
        <f t="shared" si="218"/>
        <v>9.2483349390919505E-3</v>
      </c>
      <c r="P491" s="178" t="b">
        <f t="shared" si="237"/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si="238"/>
        <v>119104.82000000004</v>
      </c>
      <c r="T491" s="170">
        <v>-44681</v>
      </c>
      <c r="U491" s="170">
        <f t="shared" si="223"/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224"/>
        <v>0.65953173277113486</v>
      </c>
      <c r="Y491" s="171">
        <f t="shared" si="225"/>
        <v>3.0298276636710187E-2</v>
      </c>
      <c r="Z491" s="784">
        <f t="shared" si="226"/>
        <v>-0.17870480993566654</v>
      </c>
    </row>
    <row r="492" spans="1:26" ht="20.100000000000001" customHeight="1" x14ac:dyDescent="0.25">
      <c r="A492" s="160">
        <f t="shared" si="216"/>
        <v>777</v>
      </c>
      <c r="B492" s="169">
        <v>43010</v>
      </c>
      <c r="C492" s="211">
        <v>2529.12</v>
      </c>
      <c r="D492" s="168">
        <f t="shared" si="239"/>
        <v>3.8739997459671357E-3</v>
      </c>
      <c r="E492" s="205">
        <f t="shared" si="232"/>
        <v>0.2029451494454062</v>
      </c>
      <c r="F492" s="215">
        <v>6516.71</v>
      </c>
      <c r="G492" s="168">
        <f t="shared" si="240"/>
        <v>3.1958374063840115E-3</v>
      </c>
      <c r="H492" s="199">
        <f t="shared" si="233"/>
        <v>0.27986919889231499</v>
      </c>
      <c r="I492" s="217">
        <v>357811.27</v>
      </c>
      <c r="J492" s="170">
        <v>350000</v>
      </c>
      <c r="K492" s="170">
        <f t="shared" si="234"/>
        <v>951.92999999999302</v>
      </c>
      <c r="L492" s="168">
        <f t="shared" si="235"/>
        <v>2.6675216066924098E-3</v>
      </c>
      <c r="M492" s="178">
        <f t="shared" si="236"/>
        <v>7811.2700000000186</v>
      </c>
      <c r="N492" s="180">
        <f t="shared" si="217"/>
        <v>2.2317914285714339E-2</v>
      </c>
      <c r="O492" s="179">
        <f t="shared" si="218"/>
        <v>1.0491143105350272E-2</v>
      </c>
      <c r="P492" s="178" t="b">
        <f t="shared" si="237"/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si="238"/>
        <v>124845.59000000003</v>
      </c>
      <c r="T492" s="170">
        <v>-44640</v>
      </c>
      <c r="U492" s="170">
        <f t="shared" si="223"/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224"/>
        <v>0.67295034131500397</v>
      </c>
      <c r="Y492" s="171">
        <f t="shared" si="225"/>
        <v>3.4404522754362801E-2</v>
      </c>
      <c r="Z492" s="784">
        <f t="shared" si="226"/>
        <v>-0.18062723515969187</v>
      </c>
    </row>
    <row r="493" spans="1:26" ht="20.100000000000001" customHeight="1" x14ac:dyDescent="0.25">
      <c r="A493" s="160">
        <f t="shared" si="216"/>
        <v>778</v>
      </c>
      <c r="B493" s="169">
        <v>43011</v>
      </c>
      <c r="C493" s="211">
        <v>2534.58</v>
      </c>
      <c r="D493" s="168">
        <f t="shared" si="239"/>
        <v>2.1588536724236242E-3</v>
      </c>
      <c r="E493" s="205">
        <f t="shared" si="232"/>
        <v>0.20554213199901061</v>
      </c>
      <c r="F493" s="215">
        <v>6531.71</v>
      </c>
      <c r="G493" s="168">
        <f t="shared" si="240"/>
        <v>2.3017749754093708E-3</v>
      </c>
      <c r="H493" s="199">
        <f t="shared" si="233"/>
        <v>0.28281516978612259</v>
      </c>
      <c r="I493" s="217">
        <v>360621.39</v>
      </c>
      <c r="J493" s="170">
        <v>350000</v>
      </c>
      <c r="K493" s="170">
        <f t="shared" si="234"/>
        <v>2810.1199999999953</v>
      </c>
      <c r="L493" s="168">
        <f t="shared" si="235"/>
        <v>7.8536374776568534E-3</v>
      </c>
      <c r="M493" s="178">
        <f t="shared" si="236"/>
        <v>10621.390000000014</v>
      </c>
      <c r="N493" s="180">
        <f t="shared" si="217"/>
        <v>3.0346828571428612E-2</v>
      </c>
      <c r="O493" s="179">
        <f t="shared" si="218"/>
        <v>1.4247016883951542E-2</v>
      </c>
      <c r="P493" s="178" t="b">
        <f t="shared" si="237"/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si="238"/>
        <v>129038.99000000002</v>
      </c>
      <c r="T493" s="170">
        <v>-43206</v>
      </c>
      <c r="U493" s="170">
        <f t="shared" si="223"/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224"/>
        <v>0.68135487804801953</v>
      </c>
      <c r="Y493" s="171">
        <f t="shared" si="225"/>
        <v>4.6762063480922801E-2</v>
      </c>
      <c r="Z493" s="784">
        <f t="shared" si="226"/>
        <v>-0.17519530342758199</v>
      </c>
    </row>
    <row r="494" spans="1:26" ht="20.100000000000001" customHeight="1" x14ac:dyDescent="0.25">
      <c r="A494" s="160">
        <f t="shared" si="216"/>
        <v>779</v>
      </c>
      <c r="B494" s="169">
        <v>43012</v>
      </c>
      <c r="C494" s="211">
        <v>2537.7399999999998</v>
      </c>
      <c r="D494" s="168">
        <f t="shared" si="239"/>
        <v>1.2467548864111035E-3</v>
      </c>
      <c r="E494" s="205">
        <f t="shared" si="232"/>
        <v>0.20704514754285483</v>
      </c>
      <c r="F494" s="215">
        <v>6534.62</v>
      </c>
      <c r="G494" s="168">
        <f t="shared" si="240"/>
        <v>4.4551886106392573E-4</v>
      </c>
      <c r="H494" s="199">
        <f t="shared" si="233"/>
        <v>0.28338668813952123</v>
      </c>
      <c r="I494" s="217">
        <v>360384.52</v>
      </c>
      <c r="J494" s="170">
        <v>350000</v>
      </c>
      <c r="K494" s="170">
        <f t="shared" si="234"/>
        <v>-236.86999999999534</v>
      </c>
      <c r="L494" s="168">
        <f t="shared" si="235"/>
        <v>-6.5683846429629518E-4</v>
      </c>
      <c r="M494" s="178">
        <f t="shared" si="236"/>
        <v>10384.520000000019</v>
      </c>
      <c r="N494" s="180">
        <f t="shared" si="217"/>
        <v>2.9670057142857195E-2</v>
      </c>
      <c r="O494" s="179">
        <f t="shared" si="218"/>
        <v>1.3911409976159935E-2</v>
      </c>
      <c r="P494" s="178" t="b">
        <f t="shared" si="237"/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si="238"/>
        <v>131645.39000000001</v>
      </c>
      <c r="T494" s="170">
        <v>-43349</v>
      </c>
      <c r="U494" s="170">
        <f t="shared" si="223"/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224"/>
        <v>0.68614929331390384</v>
      </c>
      <c r="Y494" s="171">
        <f t="shared" si="225"/>
        <v>4.5706944418538162E-2</v>
      </c>
      <c r="Z494" s="784">
        <f t="shared" si="226"/>
        <v>-0.17737509039999763</v>
      </c>
    </row>
    <row r="495" spans="1:26" ht="20.100000000000001" customHeight="1" x14ac:dyDescent="0.25">
      <c r="A495" s="160">
        <f t="shared" si="216"/>
        <v>780</v>
      </c>
      <c r="B495" s="169">
        <v>43013</v>
      </c>
      <c r="C495" s="211">
        <v>2552.0700000000002</v>
      </c>
      <c r="D495" s="168">
        <f t="shared" si="239"/>
        <v>5.6467565629262188E-3</v>
      </c>
      <c r="E495" s="205">
        <f t="shared" si="232"/>
        <v>0.2138610376514907</v>
      </c>
      <c r="F495" s="215">
        <v>6585.35</v>
      </c>
      <c r="G495" s="168">
        <f t="shared" si="240"/>
        <v>7.7632670300645601E-3</v>
      </c>
      <c r="H495" s="199">
        <f t="shared" si="233"/>
        <v>0.29334996170237848</v>
      </c>
      <c r="I495" s="217">
        <v>360856.84</v>
      </c>
      <c r="J495" s="170">
        <v>350000</v>
      </c>
      <c r="K495" s="170">
        <f t="shared" si="234"/>
        <v>472.32000000000698</v>
      </c>
      <c r="L495" s="168">
        <f t="shared" si="235"/>
        <v>1.3106001334352733E-3</v>
      </c>
      <c r="M495" s="178">
        <f t="shared" si="236"/>
        <v>10856.840000000026</v>
      </c>
      <c r="N495" s="180">
        <f t="shared" si="217"/>
        <v>3.101954285714293E-2</v>
      </c>
      <c r="O495" s="179">
        <f t="shared" si="218"/>
        <v>1.4525497472527507E-2</v>
      </c>
      <c r="P495" s="178" t="b">
        <f t="shared" si="237"/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si="238"/>
        <v>130065.39000000001</v>
      </c>
      <c r="T495" s="170">
        <v>-43035</v>
      </c>
      <c r="U495" s="170">
        <f t="shared" si="223"/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224"/>
        <v>0.70830168305624586</v>
      </c>
      <c r="Y495" s="171">
        <f t="shared" si="225"/>
        <v>4.7773042948679324E-2</v>
      </c>
      <c r="Z495" s="784">
        <f t="shared" si="226"/>
        <v>-0.18284149479434778</v>
      </c>
    </row>
    <row r="496" spans="1:26" ht="20.100000000000001" customHeight="1" x14ac:dyDescent="0.25">
      <c r="A496" s="160">
        <f t="shared" si="216"/>
        <v>781</v>
      </c>
      <c r="B496" s="169">
        <v>43014</v>
      </c>
      <c r="C496" s="211">
        <v>2549.33</v>
      </c>
      <c r="D496" s="168">
        <f t="shared" si="239"/>
        <v>-1.0736382622734627E-3</v>
      </c>
      <c r="E496" s="205">
        <f t="shared" si="232"/>
        <v>0.21255778999638508</v>
      </c>
      <c r="F496" s="215">
        <v>6590.18</v>
      </c>
      <c r="G496" s="168">
        <f t="shared" si="240"/>
        <v>7.334462101482726E-4</v>
      </c>
      <c r="H496" s="199">
        <f t="shared" si="233"/>
        <v>0.29429856433018453</v>
      </c>
      <c r="I496" s="217">
        <v>357118.36</v>
      </c>
      <c r="J496" s="170">
        <v>350000</v>
      </c>
      <c r="K496" s="170">
        <f t="shared" si="234"/>
        <v>-3738.4800000000396</v>
      </c>
      <c r="L496" s="168">
        <f t="shared" si="235"/>
        <v>-1.036000869486093E-2</v>
      </c>
      <c r="M496" s="178">
        <f t="shared" si="236"/>
        <v>7118.359999999986</v>
      </c>
      <c r="N496" s="180">
        <f t="shared" si="217"/>
        <v>2.0338171428571389E-2</v>
      </c>
      <c r="O496" s="179">
        <f t="shared" si="218"/>
        <v>9.5115456008779756E-3</v>
      </c>
      <c r="P496" s="178" t="b">
        <f t="shared" si="237"/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si="238"/>
        <v>116657.98999999999</v>
      </c>
      <c r="T496" s="170">
        <v>-43165</v>
      </c>
      <c r="U496" s="170">
        <f t="shared" si="223"/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224"/>
        <v>0.70377771116347598</v>
      </c>
      <c r="Y496" s="171">
        <f t="shared" si="225"/>
        <v>3.1304328748377408E-2</v>
      </c>
      <c r="Z496" s="784">
        <f t="shared" si="226"/>
        <v>-0.19221961856781369</v>
      </c>
    </row>
    <row r="497" spans="1:26" ht="20.100000000000001" customHeight="1" x14ac:dyDescent="0.25">
      <c r="A497" s="160">
        <f t="shared" si="216"/>
        <v>784</v>
      </c>
      <c r="B497" s="169">
        <v>43017</v>
      </c>
      <c r="C497" s="211">
        <v>2544.73</v>
      </c>
      <c r="D497" s="168">
        <f t="shared" si="239"/>
        <v>-1.8043956647432499E-3</v>
      </c>
      <c r="E497" s="205">
        <f t="shared" si="232"/>
        <v>0.21036985597686494</v>
      </c>
      <c r="F497" s="215">
        <v>6579.73</v>
      </c>
      <c r="G497" s="168">
        <f t="shared" si="240"/>
        <v>-1.5856926517941433E-3</v>
      </c>
      <c r="H497" s="199">
        <f t="shared" si="233"/>
        <v>0.29224620460749845</v>
      </c>
      <c r="I497" s="217">
        <v>354927.69</v>
      </c>
      <c r="J497" s="170">
        <v>350000</v>
      </c>
      <c r="K497" s="170">
        <f t="shared" si="234"/>
        <v>-2190.6699999999837</v>
      </c>
      <c r="L497" s="168">
        <f t="shared" si="235"/>
        <v>-6.1342967636835695E-3</v>
      </c>
      <c r="M497" s="178">
        <f t="shared" si="236"/>
        <v>4927.6900000000023</v>
      </c>
      <c r="N497" s="180">
        <f t="shared" si="217"/>
        <v>1.4079114285714293E-2</v>
      </c>
      <c r="O497" s="179">
        <f t="shared" si="218"/>
        <v>6.5591792000728897E-3</v>
      </c>
      <c r="P497" s="178" t="b">
        <f t="shared" si="237"/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si="238"/>
        <v>103482.98999999999</v>
      </c>
      <c r="T497" s="170">
        <v>-43757</v>
      </c>
      <c r="U497" s="170">
        <f t="shared" si="223"/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224"/>
        <v>0.69452721611110979</v>
      </c>
      <c r="Y497" s="171">
        <f t="shared" si="225"/>
        <v>2.1606857405861626E-2</v>
      </c>
      <c r="Z497" s="784">
        <f t="shared" si="226"/>
        <v>-0.19629074169115066</v>
      </c>
    </row>
    <row r="498" spans="1:26" ht="20.100000000000001" customHeight="1" x14ac:dyDescent="0.25">
      <c r="A498" s="160">
        <f t="shared" si="216"/>
        <v>785</v>
      </c>
      <c r="B498" s="169">
        <v>43018</v>
      </c>
      <c r="C498" s="211">
        <v>2550.64</v>
      </c>
      <c r="D498" s="168">
        <f t="shared" si="239"/>
        <v>2.3224467821732972E-3</v>
      </c>
      <c r="E498" s="205">
        <f t="shared" si="232"/>
        <v>0.21318087555411799</v>
      </c>
      <c r="F498" s="215">
        <v>6587.25</v>
      </c>
      <c r="G498" s="168">
        <f t="shared" si="240"/>
        <v>1.142904040135452E-3</v>
      </c>
      <c r="H498" s="199">
        <f t="shared" si="233"/>
        <v>0.29372311801559403</v>
      </c>
      <c r="I498" s="217">
        <v>356097.03</v>
      </c>
      <c r="J498" s="170">
        <v>350000</v>
      </c>
      <c r="K498" s="170">
        <f t="shared" si="234"/>
        <v>1169.3400000000256</v>
      </c>
      <c r="L498" s="168">
        <f t="shared" si="235"/>
        <v>3.2945865677598317E-3</v>
      </c>
      <c r="M498" s="178">
        <f t="shared" si="236"/>
        <v>6097.0300000000279</v>
      </c>
      <c r="N498" s="180">
        <f t="shared" si="217"/>
        <v>1.7420085714285796E-2</v>
      </c>
      <c r="O498" s="179">
        <f t="shared" si="218"/>
        <v>8.1053328753412576E-3</v>
      </c>
      <c r="P498" s="178" t="b">
        <f t="shared" si="237"/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si="238"/>
        <v>107636.39000000001</v>
      </c>
      <c r="T498" s="170">
        <v>-43317</v>
      </c>
      <c r="U498" s="170">
        <f t="shared" si="223"/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224"/>
        <v>0.70358982183165186</v>
      </c>
      <c r="Y498" s="171">
        <f t="shared" si="225"/>
        <v>2.6726490785900642E-2</v>
      </c>
      <c r="Z498" s="784">
        <f t="shared" si="226"/>
        <v>-0.19576078983983219</v>
      </c>
    </row>
    <row r="499" spans="1:26" ht="20.100000000000001" customHeight="1" x14ac:dyDescent="0.25">
      <c r="A499" s="160">
        <f t="shared" si="216"/>
        <v>786</v>
      </c>
      <c r="B499" s="169">
        <v>43019</v>
      </c>
      <c r="C499" s="211">
        <v>2555.2399999999998</v>
      </c>
      <c r="D499" s="168">
        <f t="shared" si="239"/>
        <v>1.8034689332872963E-3</v>
      </c>
      <c r="E499" s="205">
        <f t="shared" si="232"/>
        <v>0.2153688095736381</v>
      </c>
      <c r="F499" s="215">
        <v>6603.54</v>
      </c>
      <c r="G499" s="168">
        <f t="shared" si="240"/>
        <v>2.4729591255835083E-3</v>
      </c>
      <c r="H499" s="199">
        <f t="shared" si="233"/>
        <v>0.29692244240626908</v>
      </c>
      <c r="I499" s="217">
        <v>356596.97</v>
      </c>
      <c r="J499" s="170">
        <v>350000</v>
      </c>
      <c r="K499" s="170">
        <f t="shared" si="234"/>
        <v>499.93999999994412</v>
      </c>
      <c r="L499" s="168">
        <f t="shared" si="235"/>
        <v>1.4039431893041738E-3</v>
      </c>
      <c r="M499" s="178">
        <f t="shared" si="236"/>
        <v>6596.9699999999721</v>
      </c>
      <c r="N499" s="180">
        <f t="shared" si="217"/>
        <v>1.8848485714285636E-2</v>
      </c>
      <c r="O499" s="179">
        <f t="shared" si="218"/>
        <v>8.7587905943292983E-3</v>
      </c>
      <c r="P499" s="178" t="b">
        <f t="shared" si="237"/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si="238"/>
        <v>104417.38999999998</v>
      </c>
      <c r="T499" s="170">
        <v>-42865</v>
      </c>
      <c r="U499" s="170">
        <f t="shared" si="223"/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224"/>
        <v>0.71060617414438698</v>
      </c>
      <c r="Y499" s="171">
        <f t="shared" si="225"/>
        <v>2.8910275896734991E-2</v>
      </c>
      <c r="Z499" s="784">
        <f t="shared" si="226"/>
        <v>-0.19652032385935247</v>
      </c>
    </row>
    <row r="500" spans="1:26" ht="20.100000000000001" customHeight="1" x14ac:dyDescent="0.25">
      <c r="A500" s="160">
        <f t="shared" si="216"/>
        <v>787</v>
      </c>
      <c r="B500" s="169">
        <v>43020</v>
      </c>
      <c r="C500" s="211">
        <v>2550.9299999999998</v>
      </c>
      <c r="D500" s="168">
        <f t="shared" si="239"/>
        <v>-1.6867300136190518E-3</v>
      </c>
      <c r="E500" s="205">
        <f t="shared" si="232"/>
        <v>0.2133188105249138</v>
      </c>
      <c r="F500" s="215">
        <v>6591.51</v>
      </c>
      <c r="G500" s="168">
        <f t="shared" si="240"/>
        <v>-1.821750152191059E-3</v>
      </c>
      <c r="H500" s="199">
        <f t="shared" si="233"/>
        <v>0.29455977374943543</v>
      </c>
      <c r="I500" s="217">
        <v>355844.19</v>
      </c>
      <c r="J500" s="170">
        <v>350000</v>
      </c>
      <c r="K500" s="170">
        <f t="shared" si="234"/>
        <v>-752.77999999996973</v>
      </c>
      <c r="L500" s="168">
        <f t="shared" si="235"/>
        <v>-2.1110106459961502E-3</v>
      </c>
      <c r="M500" s="178">
        <f t="shared" si="236"/>
        <v>5844.1900000000023</v>
      </c>
      <c r="N500" s="180">
        <f t="shared" si="217"/>
        <v>1.6697685714285721E-2</v>
      </c>
      <c r="O500" s="179">
        <f t="shared" si="218"/>
        <v>7.7494659557088433E-3</v>
      </c>
      <c r="P500" s="178" t="b">
        <f t="shared" si="237"/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si="238"/>
        <v>98151.390000000014</v>
      </c>
      <c r="T500" s="170">
        <v>-42451</v>
      </c>
      <c r="U500" s="170">
        <f t="shared" si="223"/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224"/>
        <v>0.70361579859070544</v>
      </c>
      <c r="Y500" s="171">
        <f t="shared" si="225"/>
        <v>2.5604110894468866E-2</v>
      </c>
      <c r="Z500" s="784">
        <f t="shared" si="226"/>
        <v>-0.19662112481062807</v>
      </c>
    </row>
    <row r="501" spans="1:26" ht="20.100000000000001" customHeight="1" x14ac:dyDescent="0.25">
      <c r="A501" s="160">
        <f t="shared" si="216"/>
        <v>788</v>
      </c>
      <c r="B501" s="169">
        <v>43021</v>
      </c>
      <c r="C501" s="211">
        <v>2553.17</v>
      </c>
      <c r="D501" s="168">
        <f t="shared" si="239"/>
        <v>8.7811112025819467E-4</v>
      </c>
      <c r="E501" s="205">
        <f t="shared" si="232"/>
        <v>0.21438423926485417</v>
      </c>
      <c r="F501" s="215">
        <v>6605.8</v>
      </c>
      <c r="G501" s="168">
        <f t="shared" si="240"/>
        <v>2.1679402746866746E-3</v>
      </c>
      <c r="H501" s="199">
        <f t="shared" si="233"/>
        <v>0.29736630202093611</v>
      </c>
      <c r="I501" s="217">
        <v>357661.23</v>
      </c>
      <c r="J501" s="170">
        <v>350000</v>
      </c>
      <c r="K501" s="170">
        <f t="shared" si="234"/>
        <v>1817.039999999979</v>
      </c>
      <c r="L501" s="168">
        <f t="shared" si="235"/>
        <v>5.1062798018424276E-3</v>
      </c>
      <c r="M501" s="178">
        <f t="shared" si="236"/>
        <v>7661.2299999999814</v>
      </c>
      <c r="N501" s="180">
        <f t="shared" si="217"/>
        <v>2.1889228571428519E-2</v>
      </c>
      <c r="O501" s="179">
        <f t="shared" si="218"/>
        <v>1.0145990781363284E-2</v>
      </c>
      <c r="P501" s="178" t="b">
        <f t="shared" si="237"/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si="238"/>
        <v>91898.909999999974</v>
      </c>
      <c r="T501" s="170">
        <v>-41907</v>
      </c>
      <c r="U501" s="170">
        <f t="shared" si="223"/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224"/>
        <v>0.70694096466433043</v>
      </c>
      <c r="Y501" s="171">
        <f t="shared" si="225"/>
        <v>3.3553835325881735E-2</v>
      </c>
      <c r="Z501" s="784">
        <f t="shared" si="226"/>
        <v>-0.19249501069342564</v>
      </c>
    </row>
    <row r="502" spans="1:26" ht="20.100000000000001" customHeight="1" x14ac:dyDescent="0.25">
      <c r="A502" s="160">
        <f t="shared" si="216"/>
        <v>791</v>
      </c>
      <c r="B502" s="169">
        <v>43024</v>
      </c>
      <c r="C502" s="211">
        <v>2557.64</v>
      </c>
      <c r="D502" s="168">
        <f t="shared" si="239"/>
        <v>1.7507647356031129E-3</v>
      </c>
      <c r="E502" s="205">
        <f t="shared" si="232"/>
        <v>0.2165103403664313</v>
      </c>
      <c r="F502" s="215">
        <v>6624</v>
      </c>
      <c r="G502" s="168">
        <f t="shared" si="240"/>
        <v>2.7551545611432101E-3</v>
      </c>
      <c r="H502" s="199">
        <f t="shared" si="233"/>
        <v>0.30094074670542259</v>
      </c>
      <c r="I502" s="217">
        <v>356269.41</v>
      </c>
      <c r="J502" s="170">
        <v>350000</v>
      </c>
      <c r="K502" s="170">
        <f t="shared" si="234"/>
        <v>-1391.820000000007</v>
      </c>
      <c r="L502" s="168">
        <f t="shared" si="235"/>
        <v>-3.8914477814662972E-3</v>
      </c>
      <c r="M502" s="178">
        <f t="shared" si="236"/>
        <v>6269.4099999999744</v>
      </c>
      <c r="N502" s="180">
        <f t="shared" si="217"/>
        <v>1.7912599999999928E-2</v>
      </c>
      <c r="O502" s="179">
        <f t="shared" si="218"/>
        <v>8.271273261694025E-3</v>
      </c>
      <c r="P502" s="178" t="b">
        <f t="shared" si="237"/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si="238"/>
        <v>91898.899999999965</v>
      </c>
      <c r="T502" s="170">
        <v>-43678</v>
      </c>
      <c r="U502" s="170">
        <f t="shared" si="223"/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224"/>
        <v>0.71194192153897151</v>
      </c>
      <c r="Y502" s="171">
        <f t="shared" si="225"/>
        <v>2.7380010476751947E-2</v>
      </c>
      <c r="Z502" s="784">
        <f t="shared" si="226"/>
        <v>-0.19859774036643138</v>
      </c>
    </row>
    <row r="503" spans="1:26" ht="20.100000000000001" customHeight="1" x14ac:dyDescent="0.25">
      <c r="A503" s="160">
        <f t="shared" si="216"/>
        <v>792</v>
      </c>
      <c r="B503" s="169">
        <v>43025</v>
      </c>
      <c r="C503" s="211">
        <v>2559.36</v>
      </c>
      <c r="D503" s="168">
        <f t="shared" si="239"/>
        <v>6.7249495628792747E-4</v>
      </c>
      <c r="E503" s="205">
        <f t="shared" si="232"/>
        <v>0.21732843743459981</v>
      </c>
      <c r="F503" s="215">
        <v>6623.65</v>
      </c>
      <c r="G503" s="168">
        <f t="shared" si="240"/>
        <v>-5.2838164251262654E-5</v>
      </c>
      <c r="H503" s="199">
        <f t="shared" si="233"/>
        <v>0.30087200738456704</v>
      </c>
      <c r="I503" s="217">
        <v>356984.93</v>
      </c>
      <c r="J503" s="170">
        <v>350000</v>
      </c>
      <c r="K503" s="170">
        <f t="shared" si="234"/>
        <v>715.52000000001863</v>
      </c>
      <c r="L503" s="168">
        <f t="shared" si="235"/>
        <v>2.008367768650187E-3</v>
      </c>
      <c r="M503" s="178">
        <f t="shared" si="236"/>
        <v>6984.929999999993</v>
      </c>
      <c r="N503" s="180">
        <f t="shared" si="217"/>
        <v>1.9956942857142838E-2</v>
      </c>
      <c r="O503" s="179">
        <f t="shared" si="218"/>
        <v>9.2036280032467433E-3</v>
      </c>
      <c r="P503" s="178" t="b">
        <f t="shared" si="237"/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si="238"/>
        <v>91898.909999999974</v>
      </c>
      <c r="T503" s="170">
        <v>-43661</v>
      </c>
      <c r="U503" s="170">
        <f t="shared" si="223"/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224"/>
        <v>0.7144439925638304</v>
      </c>
      <c r="Y503" s="171">
        <f t="shared" si="225"/>
        <v>3.049663231785767E-2</v>
      </c>
      <c r="Z503" s="784">
        <f t="shared" si="226"/>
        <v>-0.19737149457745698</v>
      </c>
    </row>
    <row r="504" spans="1:26" ht="20.100000000000001" customHeight="1" x14ac:dyDescent="0.25">
      <c r="A504" s="160">
        <f t="shared" si="216"/>
        <v>793</v>
      </c>
      <c r="B504" s="169">
        <v>43026</v>
      </c>
      <c r="C504" s="211">
        <v>2561.2600000000002</v>
      </c>
      <c r="D504" s="168">
        <f t="shared" si="239"/>
        <v>7.4237309327335383E-4</v>
      </c>
      <c r="E504" s="205">
        <f t="shared" si="232"/>
        <v>0.21823214931222776</v>
      </c>
      <c r="F504" s="215">
        <v>6624.22</v>
      </c>
      <c r="G504" s="168">
        <f t="shared" si="240"/>
        <v>8.6055271640352141E-5</v>
      </c>
      <c r="H504" s="199">
        <f t="shared" si="233"/>
        <v>0.30098395427853181</v>
      </c>
      <c r="I504" s="217">
        <v>356309.25</v>
      </c>
      <c r="J504" s="170">
        <v>350000</v>
      </c>
      <c r="K504" s="170">
        <f t="shared" si="234"/>
        <v>-675.67999999999302</v>
      </c>
      <c r="L504" s="168">
        <f t="shared" si="235"/>
        <v>-1.8927409624826265E-3</v>
      </c>
      <c r="M504" s="178">
        <f t="shared" si="236"/>
        <v>6309.25</v>
      </c>
      <c r="N504" s="180">
        <f t="shared" si="217"/>
        <v>1.8026428571428572E-2</v>
      </c>
      <c r="O504" s="179">
        <f t="shared" si="218"/>
        <v>8.3028411547468924E-3</v>
      </c>
      <c r="P504" s="178" t="b">
        <f t="shared" si="237"/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si="238"/>
        <v>91898.909999999974</v>
      </c>
      <c r="T504" s="170">
        <v>-43281</v>
      </c>
      <c r="U504" s="170">
        <f t="shared" si="223"/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224"/>
        <v>0.71722543064957556</v>
      </c>
      <c r="Y504" s="171">
        <f t="shared" si="225"/>
        <v>2.7538935808248864E-2</v>
      </c>
      <c r="Z504" s="784">
        <f t="shared" si="226"/>
        <v>-0.20020572074079918</v>
      </c>
    </row>
    <row r="505" spans="1:26" ht="20.100000000000001" customHeight="1" x14ac:dyDescent="0.25">
      <c r="A505" s="160">
        <f t="shared" si="216"/>
        <v>794</v>
      </c>
      <c r="B505" s="169">
        <v>43027</v>
      </c>
      <c r="C505" s="211">
        <v>2562.1</v>
      </c>
      <c r="D505" s="168">
        <f t="shared" si="239"/>
        <v>3.2796358042513869E-4</v>
      </c>
      <c r="E505" s="205">
        <f t="shared" si="232"/>
        <v>0.21863168508970521</v>
      </c>
      <c r="F505" s="215">
        <v>6605.06</v>
      </c>
      <c r="G505" s="168">
        <f t="shared" si="240"/>
        <v>-2.8924160127531775E-3</v>
      </c>
      <c r="H505" s="199">
        <f t="shared" si="233"/>
        <v>0.29722096745684168</v>
      </c>
      <c r="I505" s="217">
        <v>357443.95</v>
      </c>
      <c r="J505" s="170">
        <v>350000</v>
      </c>
      <c r="K505" s="170">
        <f t="shared" si="234"/>
        <v>1134.7000000000116</v>
      </c>
      <c r="L505" s="168">
        <f t="shared" si="235"/>
        <v>3.1845931588922031E-3</v>
      </c>
      <c r="M505" s="178">
        <f t="shared" si="236"/>
        <v>7443.9500000000116</v>
      </c>
      <c r="N505" s="180">
        <f t="shared" si="217"/>
        <v>2.1268428571428605E-2</v>
      </c>
      <c r="O505" s="179">
        <f t="shared" si="218"/>
        <v>9.783745007196849E-3</v>
      </c>
      <c r="P505" s="178" t="b">
        <f t="shared" si="237"/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si="238"/>
        <v>93032.609999999986</v>
      </c>
      <c r="T505" s="170">
        <v>-42836</v>
      </c>
      <c r="U505" s="170">
        <f t="shared" si="223"/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224"/>
        <v>0.71834929918111556</v>
      </c>
      <c r="Y505" s="171">
        <f t="shared" si="225"/>
        <v>3.2482479038257503E-2</v>
      </c>
      <c r="Z505" s="784">
        <f t="shared" si="226"/>
        <v>-0.1973632565182766</v>
      </c>
    </row>
    <row r="506" spans="1:26" ht="20.100000000000001" customHeight="1" x14ac:dyDescent="0.25">
      <c r="A506" s="160">
        <f t="shared" si="216"/>
        <v>795</v>
      </c>
      <c r="B506" s="169">
        <v>43028</v>
      </c>
      <c r="C506" s="211">
        <v>2575.21</v>
      </c>
      <c r="D506" s="168">
        <f t="shared" si="239"/>
        <v>5.1168962960072319E-3</v>
      </c>
      <c r="E506" s="205">
        <f t="shared" si="232"/>
        <v>0.22486729704533778</v>
      </c>
      <c r="F506" s="215">
        <v>6629.05</v>
      </c>
      <c r="G506" s="168">
        <f t="shared" si="240"/>
        <v>3.6320639025231838E-3</v>
      </c>
      <c r="H506" s="199">
        <f t="shared" si="233"/>
        <v>0.30193255690633786</v>
      </c>
      <c r="I506" s="217">
        <v>360239.92</v>
      </c>
      <c r="J506" s="170">
        <v>350000</v>
      </c>
      <c r="K506" s="170">
        <f t="shared" si="234"/>
        <v>2795.9699999999721</v>
      </c>
      <c r="L506" s="168">
        <f t="shared" si="235"/>
        <v>7.822121482263085E-3</v>
      </c>
      <c r="M506" s="178">
        <f t="shared" si="236"/>
        <v>10239.919999999984</v>
      </c>
      <c r="N506" s="180">
        <f t="shared" si="217"/>
        <v>2.9256914285714239E-2</v>
      </c>
      <c r="O506" s="179">
        <f t="shared" si="218"/>
        <v>1.3441620053908334E-2</v>
      </c>
      <c r="P506" s="178" t="b">
        <f t="shared" si="237"/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si="238"/>
        <v>105654.41999999998</v>
      </c>
      <c r="T506" s="170">
        <v>-42552</v>
      </c>
      <c r="U506" s="170">
        <f t="shared" si="223"/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224"/>
        <v>0.73843554623789598</v>
      </c>
      <c r="Y506" s="171">
        <f t="shared" si="225"/>
        <v>4.466441273044363E-2</v>
      </c>
      <c r="Z506" s="784">
        <f t="shared" si="226"/>
        <v>-0.19561038275962356</v>
      </c>
    </row>
    <row r="507" spans="1:26" ht="20.100000000000001" customHeight="1" x14ac:dyDescent="0.25">
      <c r="A507" s="160">
        <f t="shared" si="216"/>
        <v>798</v>
      </c>
      <c r="B507" s="169">
        <v>43031</v>
      </c>
      <c r="C507" s="211">
        <v>2564.98</v>
      </c>
      <c r="D507" s="168">
        <f t="shared" si="239"/>
        <v>-3.9724915637948041E-3</v>
      </c>
      <c r="E507" s="205">
        <f t="shared" si="232"/>
        <v>0.22000152204105702</v>
      </c>
      <c r="F507" s="215">
        <v>6586.82</v>
      </c>
      <c r="G507" s="168">
        <f t="shared" si="240"/>
        <v>-6.3704452372512609E-3</v>
      </c>
      <c r="H507" s="199">
        <f t="shared" si="233"/>
        <v>0.29363866684997153</v>
      </c>
      <c r="I507" s="217">
        <v>357804.68</v>
      </c>
      <c r="J507" s="170">
        <v>350000</v>
      </c>
      <c r="K507" s="170">
        <f t="shared" si="234"/>
        <v>-2435.2399999999907</v>
      </c>
      <c r="L507" s="168">
        <f t="shared" si="235"/>
        <v>-6.760050357550576E-3</v>
      </c>
      <c r="M507" s="178">
        <f t="shared" si="236"/>
        <v>7804.679999999993</v>
      </c>
      <c r="N507" s="180">
        <f t="shared" si="217"/>
        <v>2.2299085714285693E-2</v>
      </c>
      <c r="O507" s="179">
        <f t="shared" si="218"/>
        <v>1.0206442427497305E-2</v>
      </c>
      <c r="P507" s="178" t="b">
        <f t="shared" si="237"/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si="238"/>
        <v>105654.41999999998</v>
      </c>
      <c r="T507" s="170">
        <v>-41908</v>
      </c>
      <c r="U507" s="170">
        <f t="shared" si="223"/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224"/>
        <v>0.72027685817005982</v>
      </c>
      <c r="Y507" s="171">
        <f t="shared" si="225"/>
        <v>3.3943301829971913E-2</v>
      </c>
      <c r="Z507" s="784">
        <f t="shared" si="226"/>
        <v>-0.19770243632677134</v>
      </c>
    </row>
    <row r="508" spans="1:26" ht="20.100000000000001" customHeight="1" x14ac:dyDescent="0.25">
      <c r="A508" s="160">
        <f t="shared" si="216"/>
        <v>799</v>
      </c>
      <c r="B508" s="169">
        <v>43032</v>
      </c>
      <c r="C508" s="211">
        <v>2569.13</v>
      </c>
      <c r="D508" s="168">
        <f t="shared" si="239"/>
        <v>1.6179463387629108E-3</v>
      </c>
      <c r="E508" s="205">
        <f t="shared" si="232"/>
        <v>0.22197541903692855</v>
      </c>
      <c r="F508" s="215">
        <v>6598.63</v>
      </c>
      <c r="G508" s="168">
        <f t="shared" si="240"/>
        <v>1.792974455048172E-3</v>
      </c>
      <c r="H508" s="199">
        <f t="shared" si="233"/>
        <v>0.29595812793369608</v>
      </c>
      <c r="I508" s="217">
        <v>308838.62</v>
      </c>
      <c r="J508" s="170">
        <v>300000</v>
      </c>
      <c r="K508" s="170">
        <f t="shared" si="234"/>
        <v>1033.9400000000023</v>
      </c>
      <c r="L508" s="168">
        <f t="shared" si="235"/>
        <v>2.8896771277558539E-3</v>
      </c>
      <c r="M508" s="178">
        <f t="shared" si="236"/>
        <v>8838.6199999999953</v>
      </c>
      <c r="N508" s="180">
        <f t="shared" si="217"/>
        <v>2.9462066666666651E-2</v>
      </c>
      <c r="O508" s="179">
        <f t="shared" si="218"/>
        <v>1.3468109949937416E-2</v>
      </c>
      <c r="P508" s="178" t="b">
        <f t="shared" si="237"/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si="238"/>
        <v>56687.359999999986</v>
      </c>
      <c r="T508" s="170">
        <v>-41721</v>
      </c>
      <c r="U508" s="170">
        <f t="shared" si="223"/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224"/>
        <v>0.72653644088459868</v>
      </c>
      <c r="Y508" s="171">
        <f t="shared" si="225"/>
        <v>4.4834187773212103E-2</v>
      </c>
      <c r="Z508" s="784">
        <f t="shared" si="226"/>
        <v>-0.1925133523702619</v>
      </c>
    </row>
    <row r="509" spans="1:26" ht="20.100000000000001" customHeight="1" x14ac:dyDescent="0.25">
      <c r="A509" s="160">
        <f t="shared" si="216"/>
        <v>800</v>
      </c>
      <c r="B509" s="169">
        <v>43033</v>
      </c>
      <c r="C509" s="211">
        <v>2557.15</v>
      </c>
      <c r="D509" s="168">
        <f t="shared" si="239"/>
        <v>-4.6630571438580444E-3</v>
      </c>
      <c r="E509" s="205">
        <f t="shared" si="232"/>
        <v>0.21627727782956946</v>
      </c>
      <c r="F509" s="215">
        <v>6563.89</v>
      </c>
      <c r="G509" s="168">
        <f t="shared" si="240"/>
        <v>-5.2647291937871618E-3</v>
      </c>
      <c r="H509" s="199">
        <f t="shared" si="233"/>
        <v>0.28913525934363782</v>
      </c>
      <c r="I509" s="217">
        <v>306704.96000000002</v>
      </c>
      <c r="J509" s="170">
        <v>300000</v>
      </c>
      <c r="K509" s="170">
        <f t="shared" si="234"/>
        <v>-2133.6599999999744</v>
      </c>
      <c r="L509" s="168">
        <f t="shared" si="235"/>
        <v>-6.9086566958496782E-3</v>
      </c>
      <c r="M509" s="178">
        <f t="shared" si="236"/>
        <v>6704.960000000021</v>
      </c>
      <c r="N509" s="180">
        <f t="shared" si="217"/>
        <v>2.2349866666666735E-2</v>
      </c>
      <c r="O509" s="179">
        <f t="shared" si="218"/>
        <v>1.0204111000000031E-2</v>
      </c>
      <c r="P509" s="178" t="b">
        <f t="shared" si="237"/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si="238"/>
        <v>54552.700000000012</v>
      </c>
      <c r="T509" s="170">
        <v>-41720</v>
      </c>
      <c r="U509" s="170">
        <f t="shared" si="223"/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224"/>
        <v>0.70746627582822974</v>
      </c>
      <c r="Y509" s="171">
        <f t="shared" si="225"/>
        <v>3.399722007092524E-2</v>
      </c>
      <c r="Z509" s="784">
        <f t="shared" si="226"/>
        <v>-0.19392741116290271</v>
      </c>
    </row>
    <row r="510" spans="1:26" ht="20.100000000000001" customHeight="1" x14ac:dyDescent="0.25">
      <c r="A510" s="160">
        <f t="shared" si="216"/>
        <v>801</v>
      </c>
      <c r="B510" s="169">
        <v>43034</v>
      </c>
      <c r="C510" s="211">
        <v>2560.4</v>
      </c>
      <c r="D510" s="168">
        <f t="shared" si="239"/>
        <v>1.270946170541423E-3</v>
      </c>
      <c r="E510" s="205">
        <f t="shared" si="232"/>
        <v>0.21782310077814351</v>
      </c>
      <c r="F510" s="215">
        <v>6556.77</v>
      </c>
      <c r="G510" s="168">
        <f t="shared" si="240"/>
        <v>-1.0847226263694075E-3</v>
      </c>
      <c r="H510" s="199">
        <f t="shared" si="233"/>
        <v>0.28773690515937717</v>
      </c>
      <c r="I510" s="217">
        <v>305919.12</v>
      </c>
      <c r="J510" s="170">
        <v>300000</v>
      </c>
      <c r="K510" s="170">
        <f t="shared" si="234"/>
        <v>-785.84000000002561</v>
      </c>
      <c r="L510" s="168">
        <f t="shared" si="235"/>
        <v>-2.5622017981059893E-3</v>
      </c>
      <c r="M510" s="178">
        <f t="shared" si="236"/>
        <v>5919.1199999999953</v>
      </c>
      <c r="N510" s="180">
        <f t="shared" si="217"/>
        <v>1.9730399999999985E-2</v>
      </c>
      <c r="O510" s="179">
        <f t="shared" si="218"/>
        <v>8.9969146067415667E-3</v>
      </c>
      <c r="P510" s="178" t="b">
        <f t="shared" si="237"/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si="238"/>
        <v>49093.419999999984</v>
      </c>
      <c r="T510" s="170">
        <v>-42976</v>
      </c>
      <c r="U510" s="170">
        <f t="shared" si="223"/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224"/>
        <v>0.71232962871541616</v>
      </c>
      <c r="Y510" s="171">
        <f t="shared" si="225"/>
        <v>3.0004068485748572E-2</v>
      </c>
      <c r="Z510" s="784">
        <f t="shared" si="226"/>
        <v>-0.19809270077814353</v>
      </c>
    </row>
    <row r="511" spans="1:26" ht="20.100000000000001" customHeight="1" x14ac:dyDescent="0.25">
      <c r="A511" s="160">
        <f t="shared" si="216"/>
        <v>802</v>
      </c>
      <c r="B511" s="169">
        <v>43035</v>
      </c>
      <c r="C511" s="211">
        <v>2581.0700000000002</v>
      </c>
      <c r="D511" s="168">
        <f t="shared" si="239"/>
        <v>8.0729573504140263E-3</v>
      </c>
      <c r="E511" s="205">
        <f t="shared" si="232"/>
        <v>0.22765453473107441</v>
      </c>
      <c r="F511" s="215">
        <v>6701.26</v>
      </c>
      <c r="G511" s="168">
        <f t="shared" si="240"/>
        <v>2.2036765053524796E-2</v>
      </c>
      <c r="H511" s="199">
        <f t="shared" si="233"/>
        <v>0.31611446078912747</v>
      </c>
      <c r="I511" s="217">
        <v>305278.40999999997</v>
      </c>
      <c r="J511" s="170">
        <v>300000</v>
      </c>
      <c r="K511" s="170">
        <f t="shared" si="234"/>
        <v>-640.71000000002095</v>
      </c>
      <c r="L511" s="168">
        <f t="shared" si="235"/>
        <v>-2.0943771020262513E-3</v>
      </c>
      <c r="M511" s="178">
        <f t="shared" si="236"/>
        <v>5278.4099999999744</v>
      </c>
      <c r="N511" s="180">
        <f t="shared" si="217"/>
        <v>1.7594699999999915E-2</v>
      </c>
      <c r="O511" s="179">
        <f t="shared" si="218"/>
        <v>8.0130475997505848E-3</v>
      </c>
      <c r="P511" s="178" t="b">
        <f t="shared" si="237"/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si="238"/>
        <v>46025.609999999986</v>
      </c>
      <c r="T511" s="170">
        <v>-43407</v>
      </c>
      <c r="U511" s="170">
        <f t="shared" si="223"/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224"/>
        <v>0.74373069677729886</v>
      </c>
      <c r="Y511" s="171">
        <f t="shared" si="225"/>
        <v>2.6748831844022953E-2</v>
      </c>
      <c r="Z511" s="784">
        <f t="shared" si="226"/>
        <v>-0.21005983473107451</v>
      </c>
    </row>
    <row r="512" spans="1:26" ht="20.100000000000001" customHeight="1" x14ac:dyDescent="0.25">
      <c r="A512" s="160">
        <f t="shared" si="216"/>
        <v>805</v>
      </c>
      <c r="B512" s="169">
        <v>43038</v>
      </c>
      <c r="C512" s="211">
        <v>2572.83</v>
      </c>
      <c r="D512" s="168">
        <f t="shared" si="239"/>
        <v>-3.1924744388955881E-3</v>
      </c>
      <c r="E512" s="205">
        <f t="shared" si="232"/>
        <v>0.22373527900915122</v>
      </c>
      <c r="F512" s="215">
        <v>6698.96</v>
      </c>
      <c r="G512" s="168">
        <f t="shared" si="240"/>
        <v>-3.4321903642004365E-4</v>
      </c>
      <c r="H512" s="199">
        <f t="shared" si="233"/>
        <v>0.31566274525207694</v>
      </c>
      <c r="I512" s="217">
        <v>307777.62</v>
      </c>
      <c r="J512" s="170">
        <v>300000</v>
      </c>
      <c r="K512" s="170">
        <f t="shared" si="234"/>
        <v>2499.210000000021</v>
      </c>
      <c r="L512" s="168">
        <f t="shared" si="235"/>
        <v>8.1866582048826225E-3</v>
      </c>
      <c r="M512" s="178">
        <f t="shared" si="236"/>
        <v>7777.6199999999953</v>
      </c>
      <c r="N512" s="180">
        <f t="shared" si="217"/>
        <v>2.5925399999999984E-2</v>
      </c>
      <c r="O512" s="179">
        <f t="shared" si="218"/>
        <v>1.176304639751552E-2</v>
      </c>
      <c r="P512" s="178" t="b">
        <f t="shared" si="237"/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si="238"/>
        <v>46036.239999999991</v>
      </c>
      <c r="T512" s="170">
        <v>-43230</v>
      </c>
      <c r="U512" s="170">
        <f t="shared" si="223"/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224"/>
        <v>0.7287966264278648</v>
      </c>
      <c r="Y512" s="171">
        <f t="shared" si="225"/>
        <v>3.9298939701835414E-2</v>
      </c>
      <c r="Z512" s="784">
        <f t="shared" si="226"/>
        <v>-0.19780987900915123</v>
      </c>
    </row>
    <row r="513" spans="1:26" ht="20.100000000000001" customHeight="1" x14ac:dyDescent="0.25">
      <c r="A513" s="160">
        <f t="shared" ref="A513:A546" si="241">B513-$B$2</f>
        <v>806</v>
      </c>
      <c r="B513" s="169">
        <v>43039</v>
      </c>
      <c r="C513" s="211">
        <v>2575.2600000000002</v>
      </c>
      <c r="D513" s="168">
        <f t="shared" si="239"/>
        <v>9.4448525553584618E-4</v>
      </c>
      <c r="E513" s="205">
        <f t="shared" si="232"/>
        <v>0.22489107893685439</v>
      </c>
      <c r="F513" s="215">
        <v>6727.66</v>
      </c>
      <c r="G513" s="168">
        <f t="shared" si="240"/>
        <v>4.2842471070135991E-3</v>
      </c>
      <c r="H513" s="199">
        <f t="shared" si="233"/>
        <v>0.32129936956222876</v>
      </c>
      <c r="I513" s="462">
        <v>309994</v>
      </c>
      <c r="J513" s="170">
        <v>300000</v>
      </c>
      <c r="K513" s="170">
        <f t="shared" si="234"/>
        <v>2216.3800000000047</v>
      </c>
      <c r="L513" s="168">
        <f t="shared" si="235"/>
        <v>7.2012383486492774E-3</v>
      </c>
      <c r="M513" s="462">
        <f t="shared" si="236"/>
        <v>9994</v>
      </c>
      <c r="N513" s="180">
        <f t="shared" ref="N513:N576" si="242">M513/J513</f>
        <v>3.3313333333333334E-2</v>
      </c>
      <c r="O513" s="179">
        <f t="shared" si="218"/>
        <v>1.5096395781637717E-2</v>
      </c>
      <c r="P513" s="178" t="b">
        <f t="shared" si="237"/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si="238"/>
        <v>46036.239999999991</v>
      </c>
      <c r="T513" s="170">
        <v>-43049</v>
      </c>
      <c r="U513" s="170">
        <f t="shared" si="223"/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224"/>
        <v>0.73236858661330961</v>
      </c>
      <c r="Y513" s="171">
        <f t="shared" si="225"/>
        <v>5.0478324311550929E-2</v>
      </c>
      <c r="Z513" s="784">
        <f t="shared" si="226"/>
        <v>-0.19157774560352106</v>
      </c>
    </row>
    <row r="514" spans="1:26" ht="20.100000000000001" customHeight="1" x14ac:dyDescent="0.25">
      <c r="A514" s="160">
        <f t="shared" si="241"/>
        <v>807</v>
      </c>
      <c r="B514" s="169">
        <v>43040</v>
      </c>
      <c r="C514" s="211">
        <v>2579.36</v>
      </c>
      <c r="D514" s="168">
        <f t="shared" si="239"/>
        <v>1.5920722567818041E-3</v>
      </c>
      <c r="E514" s="205">
        <f t="shared" si="232"/>
        <v>0.22684119404120928</v>
      </c>
      <c r="F514" s="215">
        <v>6716.53</v>
      </c>
      <c r="G514" s="168">
        <f t="shared" si="240"/>
        <v>-1.6543642217353596E-3</v>
      </c>
      <c r="H514" s="199">
        <f t="shared" si="233"/>
        <v>0.3191134591590235</v>
      </c>
      <c r="I514" s="217">
        <v>314097.48</v>
      </c>
      <c r="J514" s="170">
        <v>300000</v>
      </c>
      <c r="K514" s="170">
        <f t="shared" si="234"/>
        <v>4103.4799999999814</v>
      </c>
      <c r="L514" s="168">
        <f t="shared" si="235"/>
        <v>1.3237288463647624E-2</v>
      </c>
      <c r="M514" s="178">
        <f t="shared" si="236"/>
        <v>14097.479999999981</v>
      </c>
      <c r="N514" s="180">
        <f t="shared" si="242"/>
        <v>4.6991599999999939E-2</v>
      </c>
      <c r="O514" s="179">
        <f t="shared" si="218"/>
        <v>2.1268502973977668E-2</v>
      </c>
      <c r="P514" s="178" t="b">
        <f t="shared" si="237"/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si="238"/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224"/>
        <v>0.73851424027965751</v>
      </c>
      <c r="Y514" s="171">
        <f t="shared" si="225"/>
        <v>7.1153587803861038E-2</v>
      </c>
      <c r="Z514" s="784">
        <f t="shared" si="226"/>
        <v>-0.17984959404120934</v>
      </c>
    </row>
    <row r="515" spans="1:26" ht="20.100000000000001" customHeight="1" x14ac:dyDescent="0.25">
      <c r="A515" s="160">
        <f t="shared" si="241"/>
        <v>808</v>
      </c>
      <c r="B515" s="169">
        <v>43041</v>
      </c>
      <c r="C515" s="211">
        <v>2579.85</v>
      </c>
      <c r="D515" s="168">
        <f t="shared" si="239"/>
        <v>1.8996960486313726E-4</v>
      </c>
      <c r="E515" s="205">
        <f t="shared" si="232"/>
        <v>0.22707425657807112</v>
      </c>
      <c r="F515" s="215">
        <v>6714.94</v>
      </c>
      <c r="G515" s="168">
        <f t="shared" si="240"/>
        <v>-2.3672938258299233E-4</v>
      </c>
      <c r="H515" s="199">
        <f t="shared" si="233"/>
        <v>0.31880118624427989</v>
      </c>
      <c r="I515" s="217">
        <v>315145.06</v>
      </c>
      <c r="J515" s="170">
        <v>300000</v>
      </c>
      <c r="K515" s="170">
        <f t="shared" si="234"/>
        <v>1047.5800000000163</v>
      </c>
      <c r="L515" s="168">
        <f t="shared" si="235"/>
        <v>3.3352066371242976E-3</v>
      </c>
      <c r="M515" s="178">
        <f t="shared" si="236"/>
        <v>15145.059999999998</v>
      </c>
      <c r="N515" s="180">
        <f t="shared" si="242"/>
        <v>5.0483533333333323E-2</v>
      </c>
      <c r="O515" s="179">
        <f t="shared" si="218"/>
        <v>2.2820681373762371E-2</v>
      </c>
      <c r="P515" s="178" t="b">
        <f t="shared" si="237"/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si="238"/>
        <v>53621.880000000005</v>
      </c>
      <c r="T515" s="170">
        <v>-42858</v>
      </c>
      <c r="U515" s="170">
        <f t="shared" ref="U515:U538" si="243">M515-T515</f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224"/>
        <v>0.73907960091429403</v>
      </c>
      <c r="Y515" s="171">
        <f t="shared" si="225"/>
        <v>7.6419273949748734E-2</v>
      </c>
      <c r="Z515" s="784">
        <f t="shared" si="226"/>
        <v>-0.17659072324473779</v>
      </c>
    </row>
    <row r="516" spans="1:26" ht="20.100000000000001" customHeight="1" x14ac:dyDescent="0.25">
      <c r="A516" s="160">
        <f t="shared" si="241"/>
        <v>809</v>
      </c>
      <c r="B516" s="169">
        <v>43042</v>
      </c>
      <c r="C516" s="211">
        <v>2587.84</v>
      </c>
      <c r="D516" s="168">
        <f t="shared" si="239"/>
        <v>3.0970792875555696E-3</v>
      </c>
      <c r="E516" s="205">
        <f t="shared" si="232"/>
        <v>0.23087460284241171</v>
      </c>
      <c r="F516" s="215">
        <v>6764.43</v>
      </c>
      <c r="G516" s="168">
        <f t="shared" si="240"/>
        <v>7.3701328679036142E-3</v>
      </c>
      <c r="H516" s="199">
        <f t="shared" si="233"/>
        <v>0.32852092621324913</v>
      </c>
      <c r="I516" s="217">
        <v>316040.12</v>
      </c>
      <c r="J516" s="170">
        <v>300000</v>
      </c>
      <c r="K516" s="170">
        <f t="shared" si="234"/>
        <v>895.05999999999767</v>
      </c>
      <c r="L516" s="168">
        <f t="shared" si="235"/>
        <v>2.8401524047370367E-3</v>
      </c>
      <c r="M516" s="178">
        <f t="shared" si="236"/>
        <v>16040.119999999995</v>
      </c>
      <c r="N516" s="180">
        <f t="shared" si="242"/>
        <v>5.3467066666666653E-2</v>
      </c>
      <c r="O516" s="179">
        <f t="shared" si="218"/>
        <v>2.4139488380716927E-2</v>
      </c>
      <c r="P516" s="178" t="b">
        <f t="shared" si="237"/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si="238"/>
        <v>63159.66</v>
      </c>
      <c r="T516" s="170">
        <v>-42866</v>
      </c>
      <c r="U516" s="170">
        <f t="shared" si="243"/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224"/>
        <v>0.75118497538201423</v>
      </c>
      <c r="Y516" s="171">
        <f t="shared" si="225"/>
        <v>8.0913154802199336E-2</v>
      </c>
      <c r="Z516" s="784">
        <f t="shared" si="226"/>
        <v>-0.17740753617574506</v>
      </c>
    </row>
    <row r="517" spans="1:26" ht="20.100000000000001" customHeight="1" x14ac:dyDescent="0.25">
      <c r="A517" s="160">
        <f t="shared" si="241"/>
        <v>812</v>
      </c>
      <c r="B517" s="169">
        <v>43045</v>
      </c>
      <c r="C517" s="211">
        <v>2591.13</v>
      </c>
      <c r="D517" s="168">
        <f t="shared" si="239"/>
        <v>1.2713305304810048E-3</v>
      </c>
      <c r="E517" s="205">
        <f t="shared" si="232"/>
        <v>0.23243945130419896</v>
      </c>
      <c r="F517" s="215">
        <v>6786.43</v>
      </c>
      <c r="G517" s="168">
        <f t="shared" si="240"/>
        <v>3.2523065505888891E-3</v>
      </c>
      <c r="H517" s="199">
        <f t="shared" si="233"/>
        <v>0.33284168352416688</v>
      </c>
      <c r="I517" s="217">
        <v>319399.58</v>
      </c>
      <c r="J517" s="170">
        <v>300000</v>
      </c>
      <c r="K517" s="170">
        <f t="shared" si="234"/>
        <v>3359.460000000021</v>
      </c>
      <c r="L517" s="168">
        <f t="shared" si="235"/>
        <v>1.0629852943987052E-2</v>
      </c>
      <c r="M517" s="178">
        <f t="shared" si="236"/>
        <v>19399.580000000016</v>
      </c>
      <c r="N517" s="180">
        <f t="shared" si="242"/>
        <v>6.4665266666666721E-2</v>
      </c>
      <c r="O517" s="179">
        <f t="shared" si="218"/>
        <v>2.9087424445812832E-2</v>
      </c>
      <c r="P517" s="178" t="b">
        <f t="shared" si="237"/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si="238"/>
        <v>48028.960000000021</v>
      </c>
      <c r="T517" s="170">
        <v>-42964</v>
      </c>
      <c r="U517" s="170">
        <f t="shared" si="243"/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224"/>
        <v>0.75420974952943309</v>
      </c>
      <c r="Y517" s="171">
        <f t="shared" si="225"/>
        <v>9.7565215937343477E-2</v>
      </c>
      <c r="Z517" s="784">
        <f t="shared" si="226"/>
        <v>-0.16777418463753224</v>
      </c>
    </row>
    <row r="518" spans="1:26" ht="20.100000000000001" customHeight="1" x14ac:dyDescent="0.25">
      <c r="A518" s="160">
        <f t="shared" si="241"/>
        <v>813</v>
      </c>
      <c r="B518" s="169">
        <v>43046</v>
      </c>
      <c r="C518" s="211">
        <v>2590.64</v>
      </c>
      <c r="D518" s="168">
        <f t="shared" si="239"/>
        <v>-1.891066831846478E-4</v>
      </c>
      <c r="E518" s="205">
        <f t="shared" si="232"/>
        <v>0.2322063887673369</v>
      </c>
      <c r="F518" s="215">
        <v>6767.78</v>
      </c>
      <c r="G518" s="168">
        <f t="shared" si="240"/>
        <v>-2.7481311971096064E-3</v>
      </c>
      <c r="H518" s="199">
        <f t="shared" si="233"/>
        <v>0.32917885971286603</v>
      </c>
      <c r="I518" s="217">
        <v>318506.81</v>
      </c>
      <c r="J518" s="170">
        <v>300000</v>
      </c>
      <c r="K518" s="170">
        <f t="shared" si="234"/>
        <v>-892.77000000001863</v>
      </c>
      <c r="L518" s="168">
        <f t="shared" si="235"/>
        <v>-2.7951508264350837E-3</v>
      </c>
      <c r="M518" s="178">
        <f t="shared" si="236"/>
        <v>18506.809999999998</v>
      </c>
      <c r="N518" s="180">
        <f t="shared" si="242"/>
        <v>6.1689366666666662E-2</v>
      </c>
      <c r="O518" s="179">
        <f t="shared" si="218"/>
        <v>2.7714687792127921E-2</v>
      </c>
      <c r="P518" s="178" t="b">
        <f t="shared" si="237"/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si="238"/>
        <v>47135.19</v>
      </c>
      <c r="T518" s="170">
        <v>-42963</v>
      </c>
      <c r="U518" s="170">
        <f t="shared" si="243"/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224"/>
        <v>0.75325459282364204</v>
      </c>
      <c r="Y518" s="171">
        <f t="shared" si="225"/>
        <v>9.3048448817454374E-2</v>
      </c>
      <c r="Z518" s="784">
        <f t="shared" si="226"/>
        <v>-0.17051702210067024</v>
      </c>
    </row>
    <row r="519" spans="1:26" ht="20.100000000000001" customHeight="1" x14ac:dyDescent="0.25">
      <c r="A519" s="160">
        <f t="shared" si="241"/>
        <v>814</v>
      </c>
      <c r="B519" s="169">
        <v>43047</v>
      </c>
      <c r="C519" s="211">
        <v>2594.38</v>
      </c>
      <c r="D519" s="168">
        <f t="shared" si="239"/>
        <v>1.4436587098169706E-3</v>
      </c>
      <c r="E519" s="205">
        <f t="shared" si="232"/>
        <v>0.23398527425277299</v>
      </c>
      <c r="F519" s="215">
        <v>6789.11</v>
      </c>
      <c r="G519" s="168">
        <f t="shared" si="240"/>
        <v>3.1516981934991872E-3</v>
      </c>
      <c r="H519" s="199">
        <f t="shared" si="233"/>
        <v>0.33336803032386036</v>
      </c>
      <c r="I519" s="217">
        <v>317938.40999999997</v>
      </c>
      <c r="J519" s="170">
        <v>300000</v>
      </c>
      <c r="K519" s="170">
        <f t="shared" si="234"/>
        <v>-568.40000000002328</v>
      </c>
      <c r="L519" s="168">
        <f t="shared" si="235"/>
        <v>-1.7845772277208869E-3</v>
      </c>
      <c r="M519" s="178">
        <f t="shared" si="236"/>
        <v>17938.409999999974</v>
      </c>
      <c r="N519" s="180">
        <f t="shared" si="242"/>
        <v>5.9794699999999916E-2</v>
      </c>
      <c r="O519" s="179">
        <f t="shared" ref="O519:O546" si="244">N519/(A519/365.25)</f>
        <v>2.6830484244471708E-2</v>
      </c>
      <c r="P519" s="178" t="b">
        <f t="shared" si="237"/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si="238"/>
        <v>46565.789999999979</v>
      </c>
      <c r="T519" s="170">
        <v>-42962</v>
      </c>
      <c r="U519" s="170">
        <f t="shared" si="243"/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224"/>
        <v>0.75881863395185201</v>
      </c>
      <c r="Y519" s="171">
        <f t="shared" si="225"/>
        <v>9.0166023542094562E-2</v>
      </c>
      <c r="Z519" s="784">
        <f t="shared" si="226"/>
        <v>-0.17419057425277307</v>
      </c>
    </row>
    <row r="520" spans="1:26" ht="20.100000000000001" customHeight="1" x14ac:dyDescent="0.25">
      <c r="A520" s="160">
        <f t="shared" si="241"/>
        <v>815</v>
      </c>
      <c r="B520" s="169">
        <v>43048</v>
      </c>
      <c r="C520" s="211">
        <v>2584.62</v>
      </c>
      <c r="D520" s="168">
        <f t="shared" si="239"/>
        <v>-3.761977813581749E-3</v>
      </c>
      <c r="E520" s="205">
        <f t="shared" si="232"/>
        <v>0.22934304902874747</v>
      </c>
      <c r="F520" s="215">
        <v>6750.05</v>
      </c>
      <c r="G520" s="168">
        <f t="shared" si="240"/>
        <v>-5.7533314381413014E-3</v>
      </c>
      <c r="H520" s="199">
        <f t="shared" si="233"/>
        <v>0.32569672211638556</v>
      </c>
      <c r="I520" s="217">
        <v>318455.09000000003</v>
      </c>
      <c r="J520" s="170">
        <v>300000</v>
      </c>
      <c r="K520" s="170">
        <f t="shared" si="234"/>
        <v>516.68000000005122</v>
      </c>
      <c r="L520" s="168">
        <f t="shared" si="235"/>
        <v>1.6250946213137672E-3</v>
      </c>
      <c r="M520" s="178">
        <f t="shared" si="236"/>
        <v>18455.090000000026</v>
      </c>
      <c r="N520" s="180">
        <f t="shared" si="242"/>
        <v>6.1516966666666749E-2</v>
      </c>
      <c r="O520" s="179">
        <f t="shared" si="244"/>
        <v>2.7569413588957092E-2</v>
      </c>
      <c r="P520" s="178" t="b">
        <f t="shared" si="237"/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si="238"/>
        <v>51203.330000000016</v>
      </c>
      <c r="T520" s="170">
        <v>-41764</v>
      </c>
      <c r="U520" s="170">
        <f t="shared" si="243"/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224"/>
        <v>0.74340323726033974</v>
      </c>
      <c r="Y520" s="171">
        <f t="shared" si="225"/>
        <v>9.2738634509431206E-2</v>
      </c>
      <c r="Z520" s="784">
        <f t="shared" si="226"/>
        <v>-0.16782608236208071</v>
      </c>
    </row>
    <row r="521" spans="1:26" ht="20.100000000000001" customHeight="1" x14ac:dyDescent="0.25">
      <c r="A521" s="160">
        <f t="shared" si="241"/>
        <v>816</v>
      </c>
      <c r="B521" s="169">
        <v>43049</v>
      </c>
      <c r="C521" s="211">
        <v>2582.3000000000002</v>
      </c>
      <c r="D521" s="168">
        <f t="shared" si="239"/>
        <v>-8.9761744473064085E-4</v>
      </c>
      <c r="E521" s="205">
        <f t="shared" si="232"/>
        <v>0.2282395692623809</v>
      </c>
      <c r="F521" s="215">
        <v>6750.93</v>
      </c>
      <c r="G521" s="168">
        <f t="shared" si="240"/>
        <v>1.3036940467109267E-4</v>
      </c>
      <c r="H521" s="199">
        <f t="shared" si="233"/>
        <v>0.32586955240882232</v>
      </c>
      <c r="I521" s="217">
        <v>318102.55</v>
      </c>
      <c r="J521" s="170">
        <v>300000</v>
      </c>
      <c r="K521" s="170">
        <f t="shared" si="234"/>
        <v>-352.54000000003725</v>
      </c>
      <c r="L521" s="168">
        <f t="shared" si="235"/>
        <v>-1.1070320778984479E-3</v>
      </c>
      <c r="M521" s="178">
        <f t="shared" si="236"/>
        <v>18102.549999999988</v>
      </c>
      <c r="N521" s="180">
        <f t="shared" si="242"/>
        <v>6.0341833333333296E-2</v>
      </c>
      <c r="O521" s="179">
        <f t="shared" si="244"/>
        <v>2.7009625765931359E-2</v>
      </c>
      <c r="P521" s="178" t="b">
        <f t="shared" si="237"/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si="238"/>
        <v>51203.330000000016</v>
      </c>
      <c r="T521" s="170">
        <v>-41821</v>
      </c>
      <c r="U521" s="170">
        <f t="shared" si="243"/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224"/>
        <v>0.73961724349483016</v>
      </c>
      <c r="Y521" s="171">
        <f t="shared" si="225"/>
        <v>9.0942826402317448E-2</v>
      </c>
      <c r="Z521" s="784">
        <f t="shared" si="226"/>
        <v>-0.16789773592904761</v>
      </c>
    </row>
    <row r="522" spans="1:26" ht="20.100000000000001" customHeight="1" x14ac:dyDescent="0.25">
      <c r="A522" s="160">
        <f t="shared" si="241"/>
        <v>819</v>
      </c>
      <c r="B522" s="169">
        <v>43052</v>
      </c>
      <c r="C522" s="211">
        <v>2584.84</v>
      </c>
      <c r="D522" s="168">
        <f t="shared" si="239"/>
        <v>9.836192541532601E-4</v>
      </c>
      <c r="E522" s="205">
        <f t="shared" si="232"/>
        <v>0.22944768935142029</v>
      </c>
      <c r="F522" s="215">
        <v>6757.59</v>
      </c>
      <c r="G522" s="168">
        <f t="shared" si="240"/>
        <v>9.865307446529374E-4</v>
      </c>
      <c r="H522" s="199">
        <f t="shared" si="233"/>
        <v>0.32717756348567284</v>
      </c>
      <c r="I522" s="217">
        <v>317452.71000000002</v>
      </c>
      <c r="J522" s="170">
        <v>300000</v>
      </c>
      <c r="K522" s="170">
        <f t="shared" si="234"/>
        <v>-649.8399999999674</v>
      </c>
      <c r="L522" s="168">
        <f t="shared" si="235"/>
        <v>-2.0428632213101323E-3</v>
      </c>
      <c r="M522" s="178">
        <f t="shared" si="236"/>
        <v>17452.710000000021</v>
      </c>
      <c r="N522" s="180">
        <f t="shared" si="242"/>
        <v>5.8175700000000073E-2</v>
      </c>
      <c r="O522" s="179">
        <f t="shared" si="244"/>
        <v>2.5944657417582447E-2</v>
      </c>
      <c r="P522" s="178" t="b">
        <f t="shared" si="237"/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:S537" si="245">I522-R522</f>
        <v>52029.25</v>
      </c>
      <c r="T522" s="170">
        <v>-41650</v>
      </c>
      <c r="U522" s="170">
        <f t="shared" si="243"/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224"/>
        <v>0.74152050230680522</v>
      </c>
      <c r="Y522" s="171">
        <f t="shared" si="225"/>
        <v>8.7439811528140551E-2</v>
      </c>
      <c r="Z522" s="784">
        <f t="shared" si="226"/>
        <v>-0.17127198935142021</v>
      </c>
    </row>
    <row r="523" spans="1:26" ht="20.100000000000001" customHeight="1" x14ac:dyDescent="0.25">
      <c r="A523" s="160">
        <f t="shared" si="241"/>
        <v>820</v>
      </c>
      <c r="B523" s="169">
        <v>43053</v>
      </c>
      <c r="C523" s="211">
        <v>2578.87</v>
      </c>
      <c r="D523" s="168">
        <f t="shared" si="239"/>
        <v>-2.309620711533501E-3</v>
      </c>
      <c r="E523" s="205">
        <f t="shared" si="232"/>
        <v>0.22660813150434725</v>
      </c>
      <c r="F523" s="215">
        <v>6737.87</v>
      </c>
      <c r="G523" s="168">
        <f t="shared" si="240"/>
        <v>-2.9182001275603071E-3</v>
      </c>
      <c r="H523" s="199">
        <f t="shared" si="233"/>
        <v>0.32330459375061377</v>
      </c>
      <c r="I523" s="217">
        <v>315348.65000000002</v>
      </c>
      <c r="J523" s="170">
        <v>300000</v>
      </c>
      <c r="K523" s="170">
        <f t="shared" si="234"/>
        <v>-2104.0599999999977</v>
      </c>
      <c r="L523" s="168">
        <f t="shared" si="235"/>
        <v>-6.627947828827788E-3</v>
      </c>
      <c r="M523" s="178">
        <f t="shared" si="236"/>
        <v>15348.650000000023</v>
      </c>
      <c r="N523" s="180">
        <f t="shared" si="242"/>
        <v>5.1162166666666745E-2</v>
      </c>
      <c r="O523" s="179">
        <f t="shared" si="244"/>
        <v>2.2789001676829301E-2</v>
      </c>
      <c r="P523" s="178" t="b">
        <f t="shared" si="237"/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si="245"/>
        <v>51013.590000000026</v>
      </c>
      <c r="T523" s="170">
        <v>-42023</v>
      </c>
      <c r="U523" s="170">
        <f t="shared" si="243"/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224"/>
        <v>0.73208479075210031</v>
      </c>
      <c r="Y523" s="171">
        <f t="shared" si="225"/>
        <v>7.6867867447449001E-2</v>
      </c>
      <c r="Z523" s="784">
        <f t="shared" si="226"/>
        <v>-0.17544596483768049</v>
      </c>
    </row>
    <row r="524" spans="1:26" ht="20.100000000000001" customHeight="1" x14ac:dyDescent="0.25">
      <c r="A524" s="160">
        <f t="shared" si="241"/>
        <v>821</v>
      </c>
      <c r="B524" s="169">
        <v>43054</v>
      </c>
      <c r="C524" s="211">
        <v>2564.62</v>
      </c>
      <c r="D524" s="168">
        <f t="shared" si="239"/>
        <v>-5.5256759743608636E-3</v>
      </c>
      <c r="E524" s="205">
        <f t="shared" si="232"/>
        <v>0.219830292422138</v>
      </c>
      <c r="F524" s="215">
        <v>6706.2</v>
      </c>
      <c r="G524" s="168">
        <f t="shared" si="240"/>
        <v>-4.7002984622736971E-3</v>
      </c>
      <c r="H524" s="199">
        <f t="shared" si="233"/>
        <v>0.31708466720348805</v>
      </c>
      <c r="I524" s="217">
        <v>313226.95</v>
      </c>
      <c r="J524" s="170">
        <v>300000</v>
      </c>
      <c r="K524" s="170">
        <f t="shared" si="234"/>
        <v>-2121.7000000000116</v>
      </c>
      <c r="L524" s="168">
        <f t="shared" si="235"/>
        <v>-6.7281087139583803E-3</v>
      </c>
      <c r="M524" s="178">
        <f t="shared" si="236"/>
        <v>13226.950000000012</v>
      </c>
      <c r="N524" s="180">
        <f t="shared" si="242"/>
        <v>4.408983333333337E-2</v>
      </c>
      <c r="O524" s="179">
        <f t="shared" si="244"/>
        <v>1.9614874086479918E-2</v>
      </c>
      <c r="P524" s="178" t="b">
        <f t="shared" si="237"/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si="245"/>
        <v>51013.590000000026</v>
      </c>
      <c r="T524" s="170">
        <v>-42790</v>
      </c>
      <c r="U524" s="170">
        <f t="shared" si="243"/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224"/>
        <v>0.70968471462993621</v>
      </c>
      <c r="Y524" s="171">
        <f t="shared" si="225"/>
        <v>6.6215712753913566E-2</v>
      </c>
      <c r="Z524" s="784">
        <f t="shared" si="226"/>
        <v>-0.17574045908880465</v>
      </c>
    </row>
    <row r="525" spans="1:26" ht="20.100000000000001" customHeight="1" x14ac:dyDescent="0.25">
      <c r="A525" s="160">
        <f t="shared" si="241"/>
        <v>822</v>
      </c>
      <c r="B525" s="169">
        <v>43055</v>
      </c>
      <c r="C525" s="211">
        <v>2585.64</v>
      </c>
      <c r="D525" s="168">
        <f t="shared" si="239"/>
        <v>8.1961460177336146E-3</v>
      </c>
      <c r="E525" s="205">
        <f t="shared" si="232"/>
        <v>0.22982819961568454</v>
      </c>
      <c r="F525" s="215">
        <v>6793.29</v>
      </c>
      <c r="G525" s="168">
        <f t="shared" si="240"/>
        <v>1.2986490113626219E-2</v>
      </c>
      <c r="H525" s="199">
        <f t="shared" si="233"/>
        <v>0.33418897421293481</v>
      </c>
      <c r="I525" s="217">
        <v>314306.15000000002</v>
      </c>
      <c r="J525" s="170">
        <v>300000</v>
      </c>
      <c r="K525" s="170">
        <f t="shared" si="234"/>
        <v>1079.2000000000116</v>
      </c>
      <c r="L525" s="168">
        <f t="shared" ref="L525:L535" si="246">K525/I524</f>
        <v>3.4454251142821894E-3</v>
      </c>
      <c r="M525" s="178">
        <f t="shared" si="236"/>
        <v>14306.150000000023</v>
      </c>
      <c r="N525" s="180">
        <f t="shared" si="242"/>
        <v>4.7687166666666746E-2</v>
      </c>
      <c r="O525" s="179">
        <f t="shared" si="244"/>
        <v>2.1189461830900279E-2</v>
      </c>
      <c r="P525" s="178" t="b">
        <f t="shared" si="237"/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si="245"/>
        <v>51013.590000000026</v>
      </c>
      <c r="T525" s="170">
        <v>-41450</v>
      </c>
      <c r="U525" s="170">
        <f t="shared" si="243"/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224"/>
        <v>0.74119976794052167</v>
      </c>
      <c r="Y525" s="171">
        <f t="shared" si="225"/>
        <v>7.1597997431621804E-2</v>
      </c>
      <c r="Z525" s="784">
        <f t="shared" si="226"/>
        <v>-0.18214103294901779</v>
      </c>
    </row>
    <row r="526" spans="1:26" ht="20.100000000000001" customHeight="1" x14ac:dyDescent="0.25">
      <c r="A526" s="160">
        <f t="shared" si="241"/>
        <v>823</v>
      </c>
      <c r="B526" s="169">
        <v>43056</v>
      </c>
      <c r="C526" s="211">
        <v>2578.85</v>
      </c>
      <c r="D526" s="168">
        <f t="shared" ref="D526:D535" si="247">(C526-C525)/C525</f>
        <v>-2.626042295137747E-3</v>
      </c>
      <c r="E526" s="205">
        <f t="shared" si="232"/>
        <v>0.22659861874774065</v>
      </c>
      <c r="F526" s="215">
        <v>6782.79</v>
      </c>
      <c r="G526" s="168">
        <f t="shared" ref="G526:G535" si="248">(F526-F525)/F525</f>
        <v>-1.5456428328541841E-3</v>
      </c>
      <c r="H526" s="199">
        <f t="shared" ref="H526:H531" si="249">(F526-F$2)/F$2</f>
        <v>0.33212679458726951</v>
      </c>
      <c r="I526" s="217">
        <v>321104.7</v>
      </c>
      <c r="J526" s="170">
        <v>300000</v>
      </c>
      <c r="K526" s="170">
        <f t="shared" ref="K526:K531" si="250">I526-I525-J526+J525</f>
        <v>6798.5499999999884</v>
      </c>
      <c r="L526" s="168">
        <f t="shared" si="246"/>
        <v>2.1630343536071399E-2</v>
      </c>
      <c r="M526" s="178">
        <f t="shared" si="236"/>
        <v>21104.700000000012</v>
      </c>
      <c r="N526" s="180">
        <f t="shared" si="242"/>
        <v>7.0349000000000037E-2</v>
      </c>
      <c r="O526" s="179">
        <f t="shared" si="244"/>
        <v>3.1221108444714474E-2</v>
      </c>
      <c r="P526" s="178" t="b">
        <f t="shared" si="237"/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si="245"/>
        <v>55529.489999999991</v>
      </c>
      <c r="T526" s="170">
        <v>-39110</v>
      </c>
      <c r="U526" s="170">
        <f t="shared" si="243"/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224"/>
        <v>0.7305084057202802</v>
      </c>
      <c r="Y526" s="171">
        <f t="shared" si="225"/>
        <v>0.10546494192346734</v>
      </c>
      <c r="Z526" s="784">
        <f t="shared" si="226"/>
        <v>-0.15624961874774063</v>
      </c>
    </row>
    <row r="527" spans="1:26" ht="20.100000000000001" customHeight="1" x14ac:dyDescent="0.25">
      <c r="A527" s="160">
        <f t="shared" si="241"/>
        <v>826</v>
      </c>
      <c r="B527" s="169">
        <v>43059</v>
      </c>
      <c r="C527" s="211">
        <v>2582.14</v>
      </c>
      <c r="D527" s="168">
        <f t="shared" si="247"/>
        <v>1.2757624522558365E-3</v>
      </c>
      <c r="E527" s="205">
        <f t="shared" si="232"/>
        <v>0.22816346720952788</v>
      </c>
      <c r="F527" s="215">
        <v>6790.71</v>
      </c>
      <c r="G527" s="168">
        <f t="shared" si="248"/>
        <v>1.1676610952130425E-3</v>
      </c>
      <c r="H527" s="199">
        <f t="shared" si="249"/>
        <v>0.33368226721919991</v>
      </c>
      <c r="I527" s="217">
        <v>317244.77</v>
      </c>
      <c r="J527" s="170">
        <v>300000</v>
      </c>
      <c r="K527" s="170">
        <f t="shared" si="250"/>
        <v>-3859.929999999993</v>
      </c>
      <c r="L527" s="168">
        <f t="shared" si="246"/>
        <v>-1.2020783252316123E-2</v>
      </c>
      <c r="M527" s="178">
        <f t="shared" si="236"/>
        <v>17244.770000000019</v>
      </c>
      <c r="N527" s="180">
        <f t="shared" si="242"/>
        <v>5.7482566666666728E-2</v>
      </c>
      <c r="O527" s="179">
        <f t="shared" si="244"/>
        <v>2.5418289921307534E-2</v>
      </c>
      <c r="P527" s="178" t="b">
        <f t="shared" si="237"/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si="245"/>
        <v>47792.119999999995</v>
      </c>
      <c r="T527" s="170">
        <v>-39516</v>
      </c>
      <c r="U527" s="170">
        <f t="shared" si="243"/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224"/>
        <v>0.73357527893202901</v>
      </c>
      <c r="Y527" s="171">
        <f t="shared" si="225"/>
        <v>8.5908347346947647E-2</v>
      </c>
      <c r="Z527" s="784">
        <f t="shared" si="226"/>
        <v>-0.17068090054286114</v>
      </c>
    </row>
    <row r="528" spans="1:26" ht="20.100000000000001" customHeight="1" x14ac:dyDescent="0.25">
      <c r="A528" s="160">
        <f t="shared" si="241"/>
        <v>827</v>
      </c>
      <c r="B528" s="169">
        <v>43060</v>
      </c>
      <c r="C528" s="211">
        <v>2599.0300000000002</v>
      </c>
      <c r="D528" s="168">
        <f t="shared" si="247"/>
        <v>6.5410860758906677E-3</v>
      </c>
      <c r="E528" s="205">
        <f t="shared" si="232"/>
        <v>0.23619699016380974</v>
      </c>
      <c r="F528" s="215">
        <v>6862.47</v>
      </c>
      <c r="G528" s="168">
        <f t="shared" si="248"/>
        <v>1.0567378079758997E-2</v>
      </c>
      <c r="H528" s="199">
        <f t="shared" si="249"/>
        <v>0.34777579197517539</v>
      </c>
      <c r="I528" s="217">
        <v>314456.46999999997</v>
      </c>
      <c r="J528" s="170">
        <v>300000</v>
      </c>
      <c r="K528" s="170">
        <f t="shared" si="250"/>
        <v>-2788.3000000000466</v>
      </c>
      <c r="L528" s="168">
        <f t="shared" si="246"/>
        <v>-8.7891125833218509E-3</v>
      </c>
      <c r="M528" s="178">
        <f t="shared" si="236"/>
        <v>14456.469999999972</v>
      </c>
      <c r="N528" s="180">
        <f t="shared" si="242"/>
        <v>4.818823333333324E-2</v>
      </c>
      <c r="O528" s="179">
        <f t="shared" si="244"/>
        <v>2.1282650816203105E-2</v>
      </c>
      <c r="P528" s="178" t="b">
        <f t="shared" si="237"/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si="245"/>
        <v>49267.01999999996</v>
      </c>
      <c r="T528" s="170">
        <v>-40292</v>
      </c>
      <c r="U528" s="170">
        <f t="shared" si="243"/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224"/>
        <v>0.75884962980378745</v>
      </c>
      <c r="Y528" s="171">
        <f t="shared" si="225"/>
        <v>7.1982585329888854E-2</v>
      </c>
      <c r="Z528" s="784">
        <f t="shared" si="226"/>
        <v>-0.18800875683047649</v>
      </c>
    </row>
    <row r="529" spans="1:26" ht="20.100000000000001" customHeight="1" x14ac:dyDescent="0.25">
      <c r="A529" s="160">
        <f t="shared" si="241"/>
        <v>828</v>
      </c>
      <c r="B529" s="169">
        <v>43061</v>
      </c>
      <c r="C529" s="211">
        <v>2597.08</v>
      </c>
      <c r="D529" s="168">
        <f t="shared" si="247"/>
        <v>-7.5027991212116545E-4</v>
      </c>
      <c r="E529" s="205">
        <f t="shared" si="232"/>
        <v>0.23526949639466518</v>
      </c>
      <c r="F529" s="215">
        <v>6867.36</v>
      </c>
      <c r="G529" s="168">
        <f t="shared" si="248"/>
        <v>7.1257142107716582E-4</v>
      </c>
      <c r="H529" s="199">
        <f t="shared" si="249"/>
        <v>0.34873617848655653</v>
      </c>
      <c r="I529" s="217">
        <v>318417.02</v>
      </c>
      <c r="J529" s="170">
        <v>300000</v>
      </c>
      <c r="K529" s="170">
        <f t="shared" si="250"/>
        <v>3960.5500000000466</v>
      </c>
      <c r="L529" s="168">
        <f t="shared" si="246"/>
        <v>1.259490701527002E-2</v>
      </c>
      <c r="M529" s="178">
        <f t="shared" si="236"/>
        <v>18417.020000000019</v>
      </c>
      <c r="N529" s="180">
        <f t="shared" si="242"/>
        <v>6.1390066666666729E-2</v>
      </c>
      <c r="O529" s="179">
        <f t="shared" si="244"/>
        <v>2.7080581944444473E-2</v>
      </c>
      <c r="P529" s="178" t="b">
        <f t="shared" si="237"/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si="245"/>
        <v>49267.020000000019</v>
      </c>
      <c r="T529" s="170">
        <v>-40272</v>
      </c>
      <c r="U529" s="170">
        <f t="shared" si="243"/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224"/>
        <v>0.75566198882969593</v>
      </c>
      <c r="Y529" s="171">
        <f t="shared" si="225"/>
        <v>9.1642427770959586E-2</v>
      </c>
      <c r="Z529" s="784">
        <f t="shared" si="226"/>
        <v>-0.17387942972799847</v>
      </c>
    </row>
    <row r="530" spans="1:26" ht="20.100000000000001" customHeight="1" x14ac:dyDescent="0.25">
      <c r="A530" s="160">
        <f t="shared" si="241"/>
        <v>830</v>
      </c>
      <c r="B530" s="169">
        <v>43063</v>
      </c>
      <c r="C530" s="211">
        <v>2602.42</v>
      </c>
      <c r="D530" s="168">
        <f t="shared" si="247"/>
        <v>2.0561553744975689E-3</v>
      </c>
      <c r="E530" s="205">
        <f t="shared" si="232"/>
        <v>0.23780940240862997</v>
      </c>
      <c r="F530" s="215">
        <v>6889.16</v>
      </c>
      <c r="G530" s="168">
        <f t="shared" si="248"/>
        <v>3.1744367559004018E-3</v>
      </c>
      <c r="H530" s="199">
        <f t="shared" si="249"/>
        <v>0.35301765618555692</v>
      </c>
      <c r="I530" s="217">
        <v>319044.73</v>
      </c>
      <c r="J530" s="170">
        <v>300000</v>
      </c>
      <c r="K530" s="170">
        <f t="shared" si="250"/>
        <v>627.70999999996275</v>
      </c>
      <c r="L530" s="168">
        <f t="shared" si="246"/>
        <v>1.9713456271902886E-3</v>
      </c>
      <c r="M530" s="178">
        <f t="shared" si="236"/>
        <v>19044.729999999981</v>
      </c>
      <c r="N530" s="180">
        <f t="shared" si="242"/>
        <v>6.3482433333333269E-2</v>
      </c>
      <c r="O530" s="179">
        <f t="shared" si="244"/>
        <v>2.7936094909638529E-2</v>
      </c>
      <c r="P530" s="178" t="b">
        <f t="shared" si="237"/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si="245"/>
        <v>52842.880000000005</v>
      </c>
      <c r="T530" s="170">
        <v>-39912</v>
      </c>
      <c r="U530" s="170">
        <f t="shared" si="243"/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224"/>
        <v>0.76267804926992055</v>
      </c>
      <c r="Y530" s="171">
        <f t="shared" si="225"/>
        <v>9.4626754892436604E-2</v>
      </c>
      <c r="Z530" s="784">
        <f t="shared" si="226"/>
        <v>-0.17432696907529671</v>
      </c>
    </row>
    <row r="531" spans="1:26" ht="20.100000000000001" customHeight="1" x14ac:dyDescent="0.25">
      <c r="A531" s="160">
        <f t="shared" si="241"/>
        <v>833</v>
      </c>
      <c r="B531" s="169">
        <v>43066</v>
      </c>
      <c r="C531" s="211">
        <v>2601.42</v>
      </c>
      <c r="D531" s="168">
        <f t="shared" si="247"/>
        <v>-3.8425772934422574E-4</v>
      </c>
      <c r="E531" s="205">
        <f t="shared" si="232"/>
        <v>0.23733376457829949</v>
      </c>
      <c r="F531" s="215">
        <v>6878.52</v>
      </c>
      <c r="G531" s="168">
        <f t="shared" si="248"/>
        <v>-1.5444553472410887E-3</v>
      </c>
      <c r="H531" s="199">
        <f t="shared" si="249"/>
        <v>0.35092798083154952</v>
      </c>
      <c r="I531" s="217">
        <v>316554.36</v>
      </c>
      <c r="J531" s="170">
        <v>300000</v>
      </c>
      <c r="K531" s="170">
        <f t="shared" si="250"/>
        <v>-2490.3699999999953</v>
      </c>
      <c r="L531" s="168">
        <f t="shared" si="246"/>
        <v>-7.8057079958662708E-3</v>
      </c>
      <c r="M531" s="178">
        <f t="shared" si="236"/>
        <v>16554.359999999986</v>
      </c>
      <c r="N531" s="180">
        <f t="shared" si="242"/>
        <v>5.5181199999999951E-2</v>
      </c>
      <c r="O531" s="179">
        <f t="shared" si="244"/>
        <v>2.4195598199279689E-2</v>
      </c>
      <c r="P531" s="178" t="b">
        <f t="shared" si="237"/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si="245"/>
        <v>55800.81</v>
      </c>
      <c r="T531" s="170">
        <v>-39552</v>
      </c>
      <c r="U531" s="170">
        <f t="shared" si="243"/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224"/>
        <v>0.75912404209345974</v>
      </c>
      <c r="Y531" s="171">
        <f t="shared" si="225"/>
        <v>8.2019161824576386E-2</v>
      </c>
      <c r="Z531" s="784">
        <f t="shared" si="226"/>
        <v>-0.18215256457829954</v>
      </c>
    </row>
    <row r="532" spans="1:26" ht="20.100000000000001" customHeight="1" x14ac:dyDescent="0.25">
      <c r="A532" s="160">
        <f t="shared" si="241"/>
        <v>834</v>
      </c>
      <c r="B532" s="169">
        <v>43067</v>
      </c>
      <c r="C532" s="211">
        <v>2627.04</v>
      </c>
      <c r="D532" s="168">
        <f t="shared" si="247"/>
        <v>9.8484673755102562E-3</v>
      </c>
      <c r="E532" s="205">
        <f t="shared" si="232"/>
        <v>0.24951960579136617</v>
      </c>
      <c r="F532" s="215">
        <v>6912.35</v>
      </c>
      <c r="G532" s="168">
        <f t="shared" si="248"/>
        <v>4.9182091496426444E-3</v>
      </c>
      <c r="H532" s="199">
        <f>(F532-F$2)/F$2</f>
        <v>0.35757212718738351</v>
      </c>
      <c r="I532" s="217">
        <v>320874.51</v>
      </c>
      <c r="J532" s="170">
        <v>300000</v>
      </c>
      <c r="K532" s="170">
        <f>I532-I531-J532+J531</f>
        <v>4320.1500000000233</v>
      </c>
      <c r="L532" s="168">
        <f t="shared" si="246"/>
        <v>1.364741904044545E-2</v>
      </c>
      <c r="M532" s="178">
        <f t="shared" si="236"/>
        <v>20874.510000000009</v>
      </c>
      <c r="N532" s="180">
        <f t="shared" si="242"/>
        <v>6.9581700000000038E-2</v>
      </c>
      <c r="O532" s="179">
        <f t="shared" si="244"/>
        <v>3.0473280485611525E-2</v>
      </c>
      <c r="P532" s="178" t="b">
        <f t="shared" si="237"/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si="245"/>
        <v>55800.81</v>
      </c>
      <c r="T532" s="170">
        <v>-38368</v>
      </c>
      <c r="U532" s="170">
        <f t="shared" si="243"/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224"/>
        <v>0.79700489883934988</v>
      </c>
      <c r="Y532" s="171">
        <f t="shared" si="225"/>
        <v>0.10334785812512559</v>
      </c>
      <c r="Z532" s="784">
        <f t="shared" si="226"/>
        <v>-0.17993790579136615</v>
      </c>
    </row>
    <row r="533" spans="1:26" ht="20.100000000000001" customHeight="1" x14ac:dyDescent="0.25">
      <c r="A533" s="160">
        <f t="shared" si="241"/>
        <v>835</v>
      </c>
      <c r="B533" s="169">
        <v>43068</v>
      </c>
      <c r="C533" s="211">
        <v>2626.07</v>
      </c>
      <c r="D533" s="168">
        <f t="shared" si="247"/>
        <v>-3.6923685973559592E-4</v>
      </c>
      <c r="E533" s="205">
        <f t="shared" si="232"/>
        <v>0.24905823709594571</v>
      </c>
      <c r="F533" s="215">
        <v>6824.38</v>
      </c>
      <c r="G533" s="168">
        <f t="shared" si="248"/>
        <v>-1.2726496777506962E-2</v>
      </c>
      <c r="H533" s="199">
        <f>(F533-F$2)/F$2</f>
        <v>0.3402949898855</v>
      </c>
      <c r="I533" s="217">
        <v>325656.67</v>
      </c>
      <c r="J533" s="170">
        <v>300000</v>
      </c>
      <c r="K533" s="170">
        <f>I533-I532-J533+J532</f>
        <v>4782.1599999999744</v>
      </c>
      <c r="L533" s="168">
        <f t="shared" si="246"/>
        <v>1.4903521005766317E-2</v>
      </c>
      <c r="M533" s="178">
        <f t="shared" si="236"/>
        <v>25656.669999999984</v>
      </c>
      <c r="N533" s="180">
        <f t="shared" si="242"/>
        <v>8.5522233333333281E-2</v>
      </c>
      <c r="O533" s="179">
        <f t="shared" si="244"/>
        <v>3.7409575718562849E-2</v>
      </c>
      <c r="P533" s="178" t="b">
        <f t="shared" si="237"/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si="245"/>
        <v>72171.669999999984</v>
      </c>
      <c r="T533" s="170">
        <v>-37392</v>
      </c>
      <c r="U533" s="170">
        <f t="shared" si="243"/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224"/>
        <v>0.79532227218054108</v>
      </c>
      <c r="Y533" s="171">
        <f t="shared" si="225"/>
        <v>0.12691921480624277</v>
      </c>
      <c r="Z533" s="784">
        <f t="shared" si="226"/>
        <v>-0.16353600376261243</v>
      </c>
    </row>
    <row r="534" spans="1:26" ht="20.100000000000001" customHeight="1" x14ac:dyDescent="0.25">
      <c r="A534" s="160">
        <f t="shared" si="241"/>
        <v>836</v>
      </c>
      <c r="B534" s="169">
        <v>43069</v>
      </c>
      <c r="C534" s="211">
        <v>2647.58</v>
      </c>
      <c r="D534" s="168">
        <f t="shared" si="247"/>
        <v>8.1909469282996118E-3</v>
      </c>
      <c r="E534" s="205">
        <f t="shared" si="232"/>
        <v>0.25928920682635409</v>
      </c>
      <c r="F534" s="215">
        <v>6873.97</v>
      </c>
      <c r="G534" s="168">
        <f t="shared" si="248"/>
        <v>7.2665941814494713E-3</v>
      </c>
      <c r="H534" s="199">
        <f>(F534-F$2)/F$2</f>
        <v>0.35003436966042784</v>
      </c>
      <c r="I534" s="462">
        <v>329885.27</v>
      </c>
      <c r="J534" s="170">
        <v>300000</v>
      </c>
      <c r="K534" s="170">
        <f>I534-I533-J534+J533</f>
        <v>4228.6000000000349</v>
      </c>
      <c r="L534" s="168">
        <f t="shared" si="246"/>
        <v>1.2984840752686059E-2</v>
      </c>
      <c r="M534" s="462">
        <f t="shared" si="236"/>
        <v>29885.270000000019</v>
      </c>
      <c r="N534" s="180">
        <f t="shared" si="242"/>
        <v>9.9617566666666726E-2</v>
      </c>
      <c r="O534" s="179">
        <f t="shared" si="244"/>
        <v>4.3523105532296678E-2</v>
      </c>
      <c r="P534" s="178" t="b">
        <f t="shared" si="237"/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si="245"/>
        <v>94288.870000000024</v>
      </c>
      <c r="T534" s="170">
        <v>-34548</v>
      </c>
      <c r="U534" s="170">
        <f t="shared" si="243"/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224"/>
        <v>0.82715682198575313</v>
      </c>
      <c r="Y534" s="171">
        <f t="shared" si="225"/>
        <v>0.14773671864396828</v>
      </c>
      <c r="Z534" s="784">
        <f t="shared" si="226"/>
        <v>-0.15967164015968738</v>
      </c>
    </row>
    <row r="535" spans="1:26" ht="20.100000000000001" customHeight="1" x14ac:dyDescent="0.25">
      <c r="A535" s="160">
        <f t="shared" si="241"/>
        <v>837</v>
      </c>
      <c r="B535" s="169">
        <v>43070</v>
      </c>
      <c r="C535" s="211">
        <v>2642.22</v>
      </c>
      <c r="D535" s="168">
        <f t="shared" si="247"/>
        <v>-2.0244902892453212E-3</v>
      </c>
      <c r="E535" s="205">
        <f t="shared" si="232"/>
        <v>0.25673978805578268</v>
      </c>
      <c r="F535" s="215">
        <v>6847.58</v>
      </c>
      <c r="G535" s="168">
        <f t="shared" si="248"/>
        <v>-3.839120624617263E-3</v>
      </c>
      <c r="H535" s="199">
        <f>(F535-F$2)/F$2</f>
        <v>0.34485142486792236</v>
      </c>
      <c r="I535" s="217">
        <v>330901.76000000001</v>
      </c>
      <c r="J535" s="170">
        <v>300000</v>
      </c>
      <c r="K535" s="170">
        <f>I535-I534-J535+J534</f>
        <v>1016.4899999999907</v>
      </c>
      <c r="L535" s="168">
        <f t="shared" si="246"/>
        <v>3.0813440078727695E-3</v>
      </c>
      <c r="M535" s="178">
        <f t="shared" si="236"/>
        <v>30901.760000000009</v>
      </c>
      <c r="N535" s="180">
        <f t="shared" si="242"/>
        <v>0.1030058666666667</v>
      </c>
      <c r="O535" s="179">
        <f t="shared" si="244"/>
        <v>4.4949692712066919E-2</v>
      </c>
      <c r="P535" s="178" t="b">
        <f t="shared" si="237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245"/>
        <v>97384.360000000015</v>
      </c>
      <c r="T535" s="170">
        <v>-34852</v>
      </c>
      <c r="U535" s="170">
        <f t="shared" si="243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224"/>
        <v>0.81875098475480734</v>
      </c>
      <c r="Y535" s="171">
        <f t="shared" si="225"/>
        <v>0.15272002675940854</v>
      </c>
      <c r="Z535" s="784">
        <f t="shared" si="226"/>
        <v>-0.15373392138911599</v>
      </c>
    </row>
    <row r="536" spans="1:26" ht="20.100000000000001" customHeight="1" x14ac:dyDescent="0.25">
      <c r="A536" s="160">
        <f t="shared" si="241"/>
        <v>840</v>
      </c>
      <c r="B536" s="169">
        <v>43073</v>
      </c>
      <c r="C536" s="211">
        <v>2639.44</v>
      </c>
      <c r="D536" s="168">
        <f>(C536-C535)/C535</f>
        <v>-1.0521455442770646E-3</v>
      </c>
      <c r="E536" s="205">
        <f t="shared" si="232"/>
        <v>0.25541751488746406</v>
      </c>
      <c r="F536" s="215">
        <v>6775.36</v>
      </c>
      <c r="G536" s="168">
        <f>(F536-F535)/F535</f>
        <v>-1.0546791713276845E-2</v>
      </c>
      <c r="H536" s="199">
        <f>(F536-F$2)/F$2</f>
        <v>0.33066755700453676</v>
      </c>
      <c r="I536" s="217">
        <v>332631.36</v>
      </c>
      <c r="J536" s="170">
        <v>300000</v>
      </c>
      <c r="K536" s="170">
        <f>I536-I535-J536+J535</f>
        <v>1729.5999999999767</v>
      </c>
      <c r="L536" s="168">
        <f>K536/I535</f>
        <v>5.2269289833936717E-3</v>
      </c>
      <c r="M536" s="178">
        <f t="shared" si="236"/>
        <v>32631.359999999986</v>
      </c>
      <c r="N536" s="180">
        <f t="shared" si="242"/>
        <v>0.10877119999999996</v>
      </c>
      <c r="O536" s="179">
        <f t="shared" si="244"/>
        <v>4.7296048571428558E-2</v>
      </c>
      <c r="P536" s="178" t="b">
        <f t="shared" si="237"/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si="245"/>
        <v>97384.359999999986</v>
      </c>
      <c r="T536" s="170">
        <v>-32666</v>
      </c>
      <c r="U536" s="170">
        <f t="shared" si="243"/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224"/>
        <v>0.81236397927695847</v>
      </c>
      <c r="Y536" s="171">
        <f t="shared" si="225"/>
        <v>0.16083314240177998</v>
      </c>
      <c r="Z536" s="784">
        <f t="shared" si="226"/>
        <v>-0.1466463148874641</v>
      </c>
    </row>
    <row r="537" spans="1:26" ht="20.100000000000001" customHeight="1" x14ac:dyDescent="0.25">
      <c r="A537" s="160">
        <f t="shared" si="241"/>
        <v>841</v>
      </c>
      <c r="B537" s="169">
        <v>43074</v>
      </c>
      <c r="C537" s="211">
        <v>2629.57</v>
      </c>
      <c r="D537" s="168">
        <f t="shared" ref="D537:D543" si="251">(C537-C536)/C536</f>
        <v>-3.7394295759706191E-3</v>
      </c>
      <c r="E537" s="205">
        <f t="shared" si="232"/>
        <v>0.25072296950210238</v>
      </c>
      <c r="F537" s="215">
        <v>6762.21</v>
      </c>
      <c r="G537" s="168">
        <f t="shared" ref="G537:G543" si="252">(F537-F536)/F536</f>
        <v>-1.9408562792234858E-3</v>
      </c>
      <c r="H537" s="199">
        <f t="shared" ref="H537:H542" si="253">(F537-F$2)/F$2</f>
        <v>0.32808492252096555</v>
      </c>
      <c r="I537" s="217">
        <v>331089.06</v>
      </c>
      <c r="J537" s="170">
        <v>300000</v>
      </c>
      <c r="K537" s="170">
        <f t="shared" ref="K537:K542" si="254">I537-I536-J537+J536</f>
        <v>-1542.2999999999884</v>
      </c>
      <c r="L537" s="168">
        <f t="shared" ref="L537:L542" si="255">K537/I536</f>
        <v>-4.6366644443866884E-3</v>
      </c>
      <c r="M537" s="178">
        <f t="shared" si="236"/>
        <v>31089.059999999998</v>
      </c>
      <c r="N537" s="180">
        <f t="shared" si="242"/>
        <v>0.10363019999999999</v>
      </c>
      <c r="O537" s="179">
        <f t="shared" si="244"/>
        <v>4.5007051783590962E-2</v>
      </c>
      <c r="P537" s="178" t="b">
        <f t="shared" si="237"/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si="245"/>
        <v>97384.359999999986</v>
      </c>
      <c r="T537" s="170">
        <v>-33722</v>
      </c>
      <c r="U537" s="170">
        <f t="shared" si="243"/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224"/>
        <v>0.79705376061345667</v>
      </c>
      <c r="Y537" s="171">
        <f t="shared" si="225"/>
        <v>0.15318166322183716</v>
      </c>
      <c r="Z537" s="784">
        <f t="shared" si="226"/>
        <v>-0.14709276950210237</v>
      </c>
    </row>
    <row r="538" spans="1:26" ht="20.100000000000001" customHeight="1" x14ac:dyDescent="0.25">
      <c r="A538" s="160">
        <f t="shared" si="241"/>
        <v>842</v>
      </c>
      <c r="B538" s="169">
        <v>43075</v>
      </c>
      <c r="C538" s="211">
        <v>2629.27</v>
      </c>
      <c r="D538" s="168">
        <f t="shared" si="251"/>
        <v>-1.1408709408769566E-4</v>
      </c>
      <c r="E538" s="205">
        <f t="shared" si="232"/>
        <v>0.25058027815300316</v>
      </c>
      <c r="F538" s="215">
        <v>6776.37</v>
      </c>
      <c r="G538" s="168">
        <f t="shared" si="252"/>
        <v>2.0939899825648499E-3</v>
      </c>
      <c r="H538" s="199">
        <f t="shared" si="253"/>
        <v>0.33086591904471985</v>
      </c>
      <c r="I538" s="217">
        <v>327613.65999999997</v>
      </c>
      <c r="J538" s="170">
        <v>300000</v>
      </c>
      <c r="K538" s="170">
        <f t="shared" si="254"/>
        <v>-3475.4000000000233</v>
      </c>
      <c r="L538" s="168">
        <f t="shared" si="255"/>
        <v>-1.0496873560243952E-2</v>
      </c>
      <c r="M538" s="178">
        <f t="shared" si="236"/>
        <v>27613.659999999974</v>
      </c>
      <c r="N538" s="180">
        <f t="shared" si="242"/>
        <v>9.2045533333333249E-2</v>
      </c>
      <c r="O538" s="179">
        <f t="shared" si="244"/>
        <v>3.9928302909738686E-2</v>
      </c>
      <c r="P538" s="178" t="b">
        <f t="shared" si="237"/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si="243"/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224"/>
        <v>0.79639545042503435</v>
      </c>
      <c r="Y538" s="171">
        <f t="shared" si="225"/>
        <v>0.13597837509474753</v>
      </c>
      <c r="Z538" s="784">
        <f t="shared" si="226"/>
        <v>-0.15853474481966989</v>
      </c>
    </row>
    <row r="539" spans="1:26" ht="20.100000000000001" customHeight="1" x14ac:dyDescent="0.25">
      <c r="A539" s="160">
        <f t="shared" si="241"/>
        <v>843</v>
      </c>
      <c r="B539" s="169">
        <v>43076</v>
      </c>
      <c r="C539" s="211">
        <v>2636.98</v>
      </c>
      <c r="D539" s="168">
        <f t="shared" si="251"/>
        <v>2.9323728639508444E-3</v>
      </c>
      <c r="E539" s="205">
        <f t="shared" si="232"/>
        <v>0.25424744582485109</v>
      </c>
      <c r="F539" s="215">
        <v>6812.84</v>
      </c>
      <c r="G539" s="168">
        <f t="shared" si="252"/>
        <v>5.3819375270240935E-3</v>
      </c>
      <c r="H539" s="199">
        <f t="shared" si="253"/>
        <v>0.33802855627786405</v>
      </c>
      <c r="I539" s="217">
        <v>319288.36</v>
      </c>
      <c r="J539" s="170">
        <v>290000</v>
      </c>
      <c r="K539" s="170">
        <f t="shared" si="254"/>
        <v>1674.7000000000116</v>
      </c>
      <c r="L539" s="168">
        <f t="shared" si="255"/>
        <v>5.111813713750555E-3</v>
      </c>
      <c r="M539" s="178">
        <f t="shared" si="236"/>
        <v>29288.359999999986</v>
      </c>
      <c r="N539" s="180">
        <f t="shared" si="242"/>
        <v>0.10099434482758615</v>
      </c>
      <c r="O539" s="179">
        <f t="shared" si="244"/>
        <v>4.3758225917290443E-2</v>
      </c>
      <c r="P539" s="178" t="b">
        <f t="shared" si="237"/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:S549" si="256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257">E539/(A539/365.25)/V539</f>
        <v>0.80778325531765738</v>
      </c>
      <c r="Y539" s="171">
        <f t="shared" ref="Y539:Y564" si="258">O539/W539</f>
        <v>0.14915193875389643</v>
      </c>
      <c r="Z539" s="784">
        <f t="shared" ref="Z539:Z583" si="259">-(E539-N539)</f>
        <v>-0.15325310099726494</v>
      </c>
    </row>
    <row r="540" spans="1:26" ht="20.100000000000001" customHeight="1" x14ac:dyDescent="0.25">
      <c r="A540" s="160">
        <f t="shared" si="241"/>
        <v>844</v>
      </c>
      <c r="B540" s="169">
        <v>43077</v>
      </c>
      <c r="C540" s="211">
        <v>2651.5</v>
      </c>
      <c r="D540" s="168">
        <f t="shared" si="251"/>
        <v>5.5062988721947008E-3</v>
      </c>
      <c r="E540" s="205">
        <f t="shared" si="232"/>
        <v>0.26115370712124958</v>
      </c>
      <c r="F540" s="215">
        <v>6840.8</v>
      </c>
      <c r="G540" s="168">
        <f t="shared" si="252"/>
        <v>4.1040153592334528E-3</v>
      </c>
      <c r="H540" s="199">
        <f t="shared" si="253"/>
        <v>0.34351984602392138</v>
      </c>
      <c r="I540" s="217">
        <v>322861.36</v>
      </c>
      <c r="J540" s="170">
        <v>290000</v>
      </c>
      <c r="K540" s="170">
        <f t="shared" si="254"/>
        <v>3573</v>
      </c>
      <c r="L540" s="168">
        <f t="shared" si="255"/>
        <v>1.1190511298313537E-2</v>
      </c>
      <c r="M540" s="178">
        <f t="shared" si="236"/>
        <v>32861.359999999986</v>
      </c>
      <c r="N540" s="180">
        <f t="shared" si="242"/>
        <v>0.11331503448275858</v>
      </c>
      <c r="O540" s="179">
        <f t="shared" si="244"/>
        <v>4.9038289508089535E-2</v>
      </c>
      <c r="P540" s="178" t="b">
        <f t="shared" si="237"/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si="256"/>
        <v>87384.359999999986</v>
      </c>
      <c r="T540" s="170">
        <v>-32986</v>
      </c>
      <c r="U540" s="170">
        <f t="shared" ref="U540:U549" si="260">M540-T540</f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257"/>
        <v>0.8292486213606497</v>
      </c>
      <c r="Y540" s="171">
        <f t="shared" si="258"/>
        <v>0.16725300613281655</v>
      </c>
      <c r="Z540" s="784">
        <f t="shared" si="259"/>
        <v>-0.14783867263849099</v>
      </c>
    </row>
    <row r="541" spans="1:26" ht="20.100000000000001" customHeight="1" x14ac:dyDescent="0.25">
      <c r="A541" s="160">
        <f t="shared" si="241"/>
        <v>847</v>
      </c>
      <c r="B541" s="169">
        <v>43080</v>
      </c>
      <c r="C541" s="211">
        <v>2659.99</v>
      </c>
      <c r="D541" s="168">
        <f t="shared" si="251"/>
        <v>3.2019611540636552E-3</v>
      </c>
      <c r="E541" s="205">
        <f t="shared" si="232"/>
        <v>0.26519187230075519</v>
      </c>
      <c r="F541" s="215">
        <v>6875.07</v>
      </c>
      <c r="G541" s="168">
        <f t="shared" si="252"/>
        <v>5.0096479943865522E-3</v>
      </c>
      <c r="H541" s="199">
        <f t="shared" si="253"/>
        <v>0.35025040752597364</v>
      </c>
      <c r="I541" s="217">
        <v>322942.15999999997</v>
      </c>
      <c r="J541" s="170">
        <v>290000</v>
      </c>
      <c r="K541" s="170">
        <f t="shared" si="254"/>
        <v>80.799999999988358</v>
      </c>
      <c r="L541" s="168">
        <f t="shared" si="255"/>
        <v>2.5026221781382683E-4</v>
      </c>
      <c r="M541" s="178">
        <f t="shared" si="236"/>
        <v>32942.159999999974</v>
      </c>
      <c r="N541" s="180">
        <f t="shared" si="242"/>
        <v>0.11359365517241371</v>
      </c>
      <c r="O541" s="179">
        <f t="shared" si="244"/>
        <v>4.8984749175589266E-2</v>
      </c>
      <c r="P541" s="178" t="b">
        <f t="shared" si="237"/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si="256"/>
        <v>87384.359999999986</v>
      </c>
      <c r="T541" s="170">
        <v>-32985</v>
      </c>
      <c r="U541" s="170">
        <f t="shared" si="260"/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257"/>
        <v>0.83979035103909305</v>
      </c>
      <c r="Y541" s="171">
        <f t="shared" si="258"/>
        <v>0.16722585233838994</v>
      </c>
      <c r="Z541" s="784">
        <f t="shared" si="259"/>
        <v>-0.15159821712834148</v>
      </c>
    </row>
    <row r="542" spans="1:26" ht="20.100000000000001" customHeight="1" x14ac:dyDescent="0.25">
      <c r="A542" s="160">
        <f t="shared" si="241"/>
        <v>848</v>
      </c>
      <c r="B542" s="169">
        <v>43081</v>
      </c>
      <c r="C542" s="211">
        <v>2664.11</v>
      </c>
      <c r="D542" s="168">
        <f t="shared" si="251"/>
        <v>1.5488780033008943E-3</v>
      </c>
      <c r="E542" s="205">
        <f t="shared" si="232"/>
        <v>0.2671515001617169</v>
      </c>
      <c r="F542" s="215">
        <v>6862.31</v>
      </c>
      <c r="G542" s="168">
        <f t="shared" si="252"/>
        <v>-1.8559811027377626E-3</v>
      </c>
      <c r="H542" s="199">
        <f t="shared" si="253"/>
        <v>0.34774436828564148</v>
      </c>
      <c r="I542" s="217">
        <v>323980.06</v>
      </c>
      <c r="J542" s="170">
        <v>290000</v>
      </c>
      <c r="K542" s="170">
        <f t="shared" si="254"/>
        <v>1037.9000000000233</v>
      </c>
      <c r="L542" s="168">
        <f t="shared" si="255"/>
        <v>3.2138882083405382E-3</v>
      </c>
      <c r="M542" s="178">
        <f t="shared" si="236"/>
        <v>33980.06</v>
      </c>
      <c r="N542" s="180">
        <f t="shared" si="242"/>
        <v>0.11717262068965516</v>
      </c>
      <c r="O542" s="179">
        <f t="shared" si="244"/>
        <v>5.0468513805302533E-2</v>
      </c>
      <c r="P542" s="178" t="b">
        <f t="shared" si="237"/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si="256"/>
        <v>87700.359999999986</v>
      </c>
      <c r="T542" s="170">
        <v>-33546</v>
      </c>
      <c r="U542" s="170">
        <f t="shared" si="260"/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257"/>
        <v>0.84577093339667508</v>
      </c>
      <c r="Y542" s="171">
        <f t="shared" si="258"/>
        <v>0.17244781040233489</v>
      </c>
      <c r="Z542" s="784">
        <f t="shared" si="259"/>
        <v>-0.14997887947206173</v>
      </c>
    </row>
    <row r="543" spans="1:26" ht="20.100000000000001" customHeight="1" x14ac:dyDescent="0.25">
      <c r="A543" s="160">
        <f t="shared" si="241"/>
        <v>849</v>
      </c>
      <c r="B543" s="169">
        <v>43082</v>
      </c>
      <c r="C543" s="211">
        <v>2662.85</v>
      </c>
      <c r="D543" s="168">
        <f t="shared" si="251"/>
        <v>-4.7295344411462672E-4</v>
      </c>
      <c r="E543" s="205">
        <f t="shared" si="232"/>
        <v>0.26655219649550038</v>
      </c>
      <c r="F543" s="215">
        <v>6875.79</v>
      </c>
      <c r="G543" s="168">
        <f t="shared" si="252"/>
        <v>1.9643531114157714E-3</v>
      </c>
      <c r="H543" s="199">
        <f t="shared" ref="H543:H574" si="261">(F543-F$2)/F$2</f>
        <v>0.35039181412887643</v>
      </c>
      <c r="I543" s="217">
        <v>324790.59000000003</v>
      </c>
      <c r="J543" s="170">
        <v>290000</v>
      </c>
      <c r="K543" s="170">
        <f t="shared" ref="K543:K574" si="262">I543-I542-J543+J542</f>
        <v>810.53000000002794</v>
      </c>
      <c r="L543" s="168">
        <f t="shared" ref="L543:L551" si="263">K543/I542</f>
        <v>2.5017897706421438E-3</v>
      </c>
      <c r="M543" s="178">
        <f t="shared" si="236"/>
        <v>34790.590000000026</v>
      </c>
      <c r="N543" s="180">
        <f t="shared" si="242"/>
        <v>0.11996755172413802</v>
      </c>
      <c r="O543" s="179">
        <f t="shared" si="244"/>
        <v>5.1611482057999307E-2</v>
      </c>
      <c r="P543" s="178" t="b">
        <f t="shared" si="237"/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si="256"/>
        <v>87800.590000000026</v>
      </c>
      <c r="T543" s="170">
        <v>-32970</v>
      </c>
      <c r="U543" s="170">
        <f t="shared" si="260"/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257"/>
        <v>0.84365161493454932</v>
      </c>
      <c r="Y543" s="171">
        <f t="shared" si="258"/>
        <v>0.17651489494258057</v>
      </c>
      <c r="Z543" s="784">
        <f t="shared" si="259"/>
        <v>-0.14658464477136235</v>
      </c>
    </row>
    <row r="544" spans="1:26" ht="20.100000000000001" customHeight="1" x14ac:dyDescent="0.25">
      <c r="A544" s="160">
        <f t="shared" si="241"/>
        <v>850</v>
      </c>
      <c r="B544" s="169">
        <v>43083</v>
      </c>
      <c r="C544" s="211">
        <v>2652.01</v>
      </c>
      <c r="D544" s="168">
        <f t="shared" ref="D544:D575" si="264">(C544-C543)/C543</f>
        <v>-4.070826370242293E-3</v>
      </c>
      <c r="E544" s="205">
        <f t="shared" si="232"/>
        <v>0.26139628241471818</v>
      </c>
      <c r="F544" s="215">
        <v>6856.52</v>
      </c>
      <c r="G544" s="168">
        <f t="shared" ref="G544:G575" si="265">(F544-F543)/F543</f>
        <v>-2.8025870481791222E-3</v>
      </c>
      <c r="H544" s="199">
        <f t="shared" si="261"/>
        <v>0.34660722352063172</v>
      </c>
      <c r="I544" s="217">
        <v>322223.39</v>
      </c>
      <c r="J544" s="170">
        <v>290000</v>
      </c>
      <c r="K544" s="170">
        <f t="shared" si="262"/>
        <v>-2567.2000000000116</v>
      </c>
      <c r="L544" s="168">
        <f t="shared" si="263"/>
        <v>-7.9041698837395858E-3</v>
      </c>
      <c r="M544" s="178">
        <f t="shared" si="236"/>
        <v>32223.390000000014</v>
      </c>
      <c r="N544" s="180">
        <f t="shared" si="242"/>
        <v>0.11111513793103453</v>
      </c>
      <c r="O544" s="179">
        <f t="shared" si="244"/>
        <v>4.7746828387423952E-2</v>
      </c>
      <c r="P544" s="178" t="b">
        <f t="shared" si="237"/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si="256"/>
        <v>87800.590000000026</v>
      </c>
      <c r="T544" s="170">
        <v>-34234</v>
      </c>
      <c r="U544" s="170">
        <f t="shared" si="260"/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257"/>
        <v>0.82690911411066492</v>
      </c>
      <c r="Y544" s="171">
        <f t="shared" si="258"/>
        <v>0.163417007006146</v>
      </c>
      <c r="Z544" s="784">
        <f t="shared" si="259"/>
        <v>-0.15028114448368365</v>
      </c>
    </row>
    <row r="545" spans="1:26" ht="20.100000000000001" customHeight="1" x14ac:dyDescent="0.25">
      <c r="A545" s="160">
        <f t="shared" si="241"/>
        <v>851</v>
      </c>
      <c r="B545" s="169">
        <v>43084</v>
      </c>
      <c r="C545" s="211">
        <v>2675.81</v>
      </c>
      <c r="D545" s="168">
        <f t="shared" si="264"/>
        <v>8.9743251345205059E-3</v>
      </c>
      <c r="E545" s="205">
        <f t="shared" si="232"/>
        <v>0.27271646277658335</v>
      </c>
      <c r="F545" s="215">
        <v>6936.58</v>
      </c>
      <c r="G545" s="168">
        <f t="shared" si="265"/>
        <v>1.1676477280019526E-2</v>
      </c>
      <c r="H545" s="199">
        <f t="shared" si="261"/>
        <v>0.36233085217118061</v>
      </c>
      <c r="I545" s="217">
        <v>323833.19</v>
      </c>
      <c r="J545" s="170">
        <v>290000</v>
      </c>
      <c r="K545" s="170">
        <f t="shared" si="262"/>
        <v>1609.7999999999884</v>
      </c>
      <c r="L545" s="168">
        <f t="shared" si="263"/>
        <v>4.9959129286051779E-3</v>
      </c>
      <c r="M545" s="178">
        <f t="shared" si="236"/>
        <v>33833.19</v>
      </c>
      <c r="N545" s="180">
        <f t="shared" si="242"/>
        <v>0.11666617241379311</v>
      </c>
      <c r="O545" s="179">
        <f t="shared" si="244"/>
        <v>5.0073230874427652E-2</v>
      </c>
      <c r="P545" s="178" t="b">
        <f t="shared" si="237"/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si="256"/>
        <v>87800.59</v>
      </c>
      <c r="T545" s="170">
        <v>-33354</v>
      </c>
      <c r="U545" s="170">
        <f t="shared" si="260"/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257"/>
        <v>0.86171620367547019</v>
      </c>
      <c r="Y545" s="171">
        <f t="shared" si="258"/>
        <v>0.17152820819249553</v>
      </c>
      <c r="Z545" s="784">
        <f t="shared" si="259"/>
        <v>-0.15605029036279022</v>
      </c>
    </row>
    <row r="546" spans="1:26" ht="20.100000000000001" customHeight="1" x14ac:dyDescent="0.25">
      <c r="A546" s="160">
        <f t="shared" si="241"/>
        <v>854</v>
      </c>
      <c r="B546" s="169">
        <v>43087</v>
      </c>
      <c r="C546" s="211">
        <v>2690.16</v>
      </c>
      <c r="D546" s="168">
        <f t="shared" si="264"/>
        <v>5.3628620866204664E-3</v>
      </c>
      <c r="E546" s="205">
        <f t="shared" si="232"/>
        <v>0.27954186564182559</v>
      </c>
      <c r="F546" s="215">
        <v>6994.75</v>
      </c>
      <c r="G546" s="168">
        <f t="shared" si="265"/>
        <v>8.3859769511776799E-3</v>
      </c>
      <c r="H546" s="199">
        <f t="shared" si="261"/>
        <v>0.37375532729736632</v>
      </c>
      <c r="I546" s="217">
        <v>328097.89</v>
      </c>
      <c r="J546" s="170">
        <v>290000</v>
      </c>
      <c r="K546" s="170">
        <f t="shared" si="262"/>
        <v>4264.7000000000116</v>
      </c>
      <c r="L546" s="168">
        <f t="shared" si="263"/>
        <v>1.3169434547459486E-2</v>
      </c>
      <c r="M546" s="178">
        <f t="shared" si="236"/>
        <v>38097.890000000014</v>
      </c>
      <c r="N546" s="180">
        <f t="shared" si="242"/>
        <v>0.13137203448275867</v>
      </c>
      <c r="O546" s="179">
        <f t="shared" si="244"/>
        <v>5.6186926926027642E-2</v>
      </c>
      <c r="P546" s="178" t="b">
        <f t="shared" si="237"/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si="256"/>
        <v>96680.390000000014</v>
      </c>
      <c r="T546" s="170">
        <v>-32394</v>
      </c>
      <c r="U546" s="170">
        <f t="shared" si="260"/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257"/>
        <v>0.88072753881887378</v>
      </c>
      <c r="Y546" s="171">
        <f t="shared" si="258"/>
        <v>0.19256453401966658</v>
      </c>
      <c r="Z546" s="784">
        <f t="shared" si="259"/>
        <v>-0.14816983115906693</v>
      </c>
    </row>
    <row r="547" spans="1:26" ht="20.100000000000001" customHeight="1" x14ac:dyDescent="0.25">
      <c r="A547" s="160">
        <f t="shared" ref="A547:A578" si="266">B547-$B$2</f>
        <v>855</v>
      </c>
      <c r="B547" s="169">
        <v>43088</v>
      </c>
      <c r="C547" s="211">
        <v>2681.47</v>
      </c>
      <c r="D547" s="168">
        <f t="shared" si="264"/>
        <v>-3.2302911350997913E-3</v>
      </c>
      <c r="E547" s="205">
        <f t="shared" si="232"/>
        <v>0.27540857289625376</v>
      </c>
      <c r="F547" s="215">
        <v>6963.85</v>
      </c>
      <c r="G547" s="168">
        <f t="shared" si="265"/>
        <v>-4.4175989134707652E-3</v>
      </c>
      <c r="H547" s="199">
        <f t="shared" si="261"/>
        <v>0.36768662725612283</v>
      </c>
      <c r="I547" s="217">
        <v>330798.90000000002</v>
      </c>
      <c r="J547" s="170">
        <v>290000</v>
      </c>
      <c r="K547" s="170">
        <f t="shared" si="262"/>
        <v>2701.0100000000093</v>
      </c>
      <c r="L547" s="168">
        <f t="shared" si="263"/>
        <v>8.2323296867285838E-3</v>
      </c>
      <c r="M547" s="178">
        <f t="shared" si="236"/>
        <v>40798.900000000023</v>
      </c>
      <c r="N547" s="180">
        <f t="shared" si="242"/>
        <v>0.14068586206896561</v>
      </c>
      <c r="O547" s="179">
        <f t="shared" ref="O547:O578" si="267">N547/(A547/365.25)</f>
        <v>6.0100013006654608E-2</v>
      </c>
      <c r="P547" s="178" t="b">
        <f t="shared" si="237"/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si="256"/>
        <v>98278.350000000035</v>
      </c>
      <c r="T547" s="170">
        <v>-32544</v>
      </c>
      <c r="U547" s="170">
        <f t="shared" si="260"/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257"/>
        <v>0.86733713178540173</v>
      </c>
      <c r="Y547" s="171">
        <f t="shared" si="258"/>
        <v>0.2061319214505424</v>
      </c>
      <c r="Z547" s="784">
        <f t="shared" si="259"/>
        <v>-0.13472271082728815</v>
      </c>
    </row>
    <row r="548" spans="1:26" ht="20.100000000000001" customHeight="1" x14ac:dyDescent="0.25">
      <c r="A548" s="160">
        <f t="shared" si="266"/>
        <v>856</v>
      </c>
      <c r="B548" s="169">
        <v>43089</v>
      </c>
      <c r="C548" s="211">
        <v>2679.25</v>
      </c>
      <c r="D548" s="168">
        <f t="shared" si="264"/>
        <v>-8.2790409737934793E-4</v>
      </c>
      <c r="E548" s="205">
        <f t="shared" si="232"/>
        <v>0.27435265691292021</v>
      </c>
      <c r="F548" s="215">
        <v>6960.95</v>
      </c>
      <c r="G548" s="168">
        <f t="shared" si="265"/>
        <v>-4.1643631037436841E-4</v>
      </c>
      <c r="H548" s="199">
        <f t="shared" si="261"/>
        <v>0.36711707288331991</v>
      </c>
      <c r="I548" s="217">
        <v>332590.03999999998</v>
      </c>
      <c r="J548" s="170">
        <v>290000</v>
      </c>
      <c r="K548" s="170">
        <f t="shared" si="262"/>
        <v>1791.1399999999558</v>
      </c>
      <c r="L548" s="168">
        <f t="shared" si="263"/>
        <v>5.414588742586374E-3</v>
      </c>
      <c r="M548" s="178">
        <f t="shared" si="236"/>
        <v>42590.039999999979</v>
      </c>
      <c r="N548" s="180">
        <f t="shared" si="242"/>
        <v>0.14686220689655166</v>
      </c>
      <c r="O548" s="179">
        <f t="shared" si="267"/>
        <v>6.2665211529165307E-2</v>
      </c>
      <c r="P548" s="178" t="b">
        <f t="shared" si="237"/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si="256"/>
        <v>98747.039999999979</v>
      </c>
      <c r="T548" s="170">
        <v>-31989</v>
      </c>
      <c r="U548" s="170">
        <f t="shared" si="260"/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257"/>
        <v>0.86377659418286634</v>
      </c>
      <c r="Y548" s="171">
        <f t="shared" si="258"/>
        <v>0.21511372114444255</v>
      </c>
      <c r="Z548" s="784">
        <f t="shared" si="259"/>
        <v>-0.12749045001636855</v>
      </c>
    </row>
    <row r="549" spans="1:26" ht="20.100000000000001" customHeight="1" x14ac:dyDescent="0.25">
      <c r="A549" s="160">
        <f t="shared" si="266"/>
        <v>857</v>
      </c>
      <c r="B549" s="169">
        <v>43090</v>
      </c>
      <c r="C549" s="211">
        <v>2684.59</v>
      </c>
      <c r="D549" s="168">
        <f t="shared" si="264"/>
        <v>1.9930950825791344E-3</v>
      </c>
      <c r="E549" s="205">
        <f t="shared" si="232"/>
        <v>0.27689256292688497</v>
      </c>
      <c r="F549" s="215">
        <v>6965.36</v>
      </c>
      <c r="G549" s="168">
        <f t="shared" si="265"/>
        <v>6.3353421587568576E-4</v>
      </c>
      <c r="H549" s="199">
        <f t="shared" si="261"/>
        <v>0.36798318832609933</v>
      </c>
      <c r="I549" s="217">
        <v>338086.81</v>
      </c>
      <c r="J549" s="170">
        <v>290000</v>
      </c>
      <c r="K549" s="170">
        <f t="shared" si="262"/>
        <v>5496.7700000000186</v>
      </c>
      <c r="L549" s="168">
        <f t="shared" si="263"/>
        <v>1.6527163591549581E-2</v>
      </c>
      <c r="M549" s="178">
        <f t="shared" si="236"/>
        <v>48086.81</v>
      </c>
      <c r="N549" s="180">
        <f t="shared" si="242"/>
        <v>0.16581658620689654</v>
      </c>
      <c r="O549" s="179">
        <f t="shared" si="267"/>
        <v>7.0670371192612547E-2</v>
      </c>
      <c r="P549" s="178" t="b">
        <f t="shared" si="237"/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si="256"/>
        <v>119787.66</v>
      </c>
      <c r="T549" s="170">
        <v>-31667</v>
      </c>
      <c r="U549" s="170">
        <f t="shared" si="260"/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257"/>
        <v>0.87152947714801032</v>
      </c>
      <c r="Y549" s="171">
        <f t="shared" si="258"/>
        <v>0.24264778543087354</v>
      </c>
      <c r="Z549" s="784">
        <f t="shared" si="259"/>
        <v>-0.11107597671998842</v>
      </c>
    </row>
    <row r="550" spans="1:26" ht="20.100000000000001" customHeight="1" x14ac:dyDescent="0.25">
      <c r="A550" s="160">
        <f t="shared" si="266"/>
        <v>858</v>
      </c>
      <c r="B550" s="169">
        <v>43091</v>
      </c>
      <c r="C550" s="211">
        <f>C551+0.84</f>
        <v>2681.34</v>
      </c>
      <c r="D550" s="168">
        <f t="shared" si="264"/>
        <v>-1.2106131662562999E-3</v>
      </c>
      <c r="E550" s="205">
        <f t="shared" si="232"/>
        <v>0.27534673997831094</v>
      </c>
      <c r="F550" s="215">
        <f>F551+23.71</f>
        <v>6960.95</v>
      </c>
      <c r="G550" s="168">
        <f t="shared" si="265"/>
        <v>-6.3313310439085059E-4</v>
      </c>
      <c r="H550" s="199">
        <f t="shared" si="261"/>
        <v>0.36711707288331991</v>
      </c>
      <c r="I550" s="217">
        <f>I551-1562</f>
        <v>338627.13</v>
      </c>
      <c r="J550" s="170">
        <v>290000</v>
      </c>
      <c r="K550" s="170">
        <f t="shared" si="262"/>
        <v>540.32000000000698</v>
      </c>
      <c r="L550" s="168">
        <f t="shared" si="263"/>
        <v>1.5981694169021471E-3</v>
      </c>
      <c r="M550" s="178">
        <f t="shared" si="236"/>
        <v>48627.130000000005</v>
      </c>
      <c r="N550" s="180">
        <f t="shared" si="242"/>
        <v>0.16767975862068968</v>
      </c>
      <c r="O550" s="179">
        <f t="shared" si="267"/>
        <v>7.1381155986255135E-2</v>
      </c>
      <c r="P550" s="178" t="b">
        <f t="shared" si="237"/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257"/>
        <v>0.86641497686755109</v>
      </c>
      <c r="Y550" s="171">
        <f t="shared" si="258"/>
        <v>0.24531194081878024</v>
      </c>
      <c r="Z550" s="784">
        <f t="shared" si="259"/>
        <v>-0.10766698135762126</v>
      </c>
    </row>
    <row r="551" spans="1:26" ht="20.100000000000001" customHeight="1" x14ac:dyDescent="0.25">
      <c r="A551" s="160">
        <f t="shared" si="266"/>
        <v>862</v>
      </c>
      <c r="B551" s="169">
        <v>43095</v>
      </c>
      <c r="C551" s="211">
        <v>2680.5</v>
      </c>
      <c r="D551" s="168">
        <f t="shared" si="264"/>
        <v>-3.1327619772208878E-4</v>
      </c>
      <c r="E551" s="205">
        <f t="shared" si="232"/>
        <v>0.2749472042008333</v>
      </c>
      <c r="F551" s="215">
        <v>6937.24</v>
      </c>
      <c r="G551" s="168">
        <f t="shared" si="265"/>
        <v>-3.406144276284133E-3</v>
      </c>
      <c r="H551" s="199">
        <f t="shared" si="261"/>
        <v>0.36246047489050809</v>
      </c>
      <c r="I551" s="217">
        <v>340189.13</v>
      </c>
      <c r="J551" s="170">
        <v>290000</v>
      </c>
      <c r="K551" s="170">
        <f t="shared" si="262"/>
        <v>1562</v>
      </c>
      <c r="L551" s="168">
        <f t="shared" si="263"/>
        <v>4.6127432258602549E-3</v>
      </c>
      <c r="M551" s="178">
        <f t="shared" si="236"/>
        <v>50189.130000000005</v>
      </c>
      <c r="N551" s="180">
        <f t="shared" si="242"/>
        <v>0.1730659655172414</v>
      </c>
      <c r="O551" s="179">
        <f t="shared" si="267"/>
        <v>7.33321855048404E-2</v>
      </c>
      <c r="P551" s="178" t="b">
        <f t="shared" si="237"/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:S587" si="268">I551-R551</f>
        <v>117391.53</v>
      </c>
      <c r="T551" s="170">
        <v>-31257</v>
      </c>
      <c r="U551" s="170">
        <f t="shared" ref="U551:U587" si="269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257"/>
        <v>0.86192310716976595</v>
      </c>
      <c r="Y551" s="171">
        <f t="shared" si="258"/>
        <v>0.25223614764049507</v>
      </c>
      <c r="Z551" s="784">
        <f t="shared" si="259"/>
        <v>-0.10188123868359189</v>
      </c>
    </row>
    <row r="552" spans="1:26" ht="20.100000000000001" customHeight="1" x14ac:dyDescent="0.25">
      <c r="A552" s="160">
        <f t="shared" si="266"/>
        <v>863</v>
      </c>
      <c r="B552" s="169">
        <v>43096</v>
      </c>
      <c r="C552" s="211">
        <v>2682.62</v>
      </c>
      <c r="D552" s="168">
        <f t="shared" si="264"/>
        <v>7.9089722066774519E-4</v>
      </c>
      <c r="E552" s="205">
        <f t="shared" si="232"/>
        <v>0.27595555640113384</v>
      </c>
      <c r="F552" s="215">
        <v>6939.33</v>
      </c>
      <c r="G552" s="168">
        <f t="shared" si="265"/>
        <v>3.0127255219657178E-4</v>
      </c>
      <c r="H552" s="199">
        <f t="shared" si="261"/>
        <v>0.36287094683504528</v>
      </c>
      <c r="I552" s="217">
        <v>338273.53</v>
      </c>
      <c r="J552" s="170">
        <v>290000</v>
      </c>
      <c r="K552" s="170">
        <f t="shared" si="262"/>
        <v>-1915.5999999999767</v>
      </c>
      <c r="L552" s="168">
        <f t="shared" ref="L552:L557" si="270">K552/I551</f>
        <v>-5.6309853286610791E-3</v>
      </c>
      <c r="M552" s="178">
        <f t="shared" si="236"/>
        <v>48273.530000000028</v>
      </c>
      <c r="N552" s="180">
        <f t="shared" si="242"/>
        <v>0.16646044827586218</v>
      </c>
      <c r="O552" s="179">
        <f t="shared" si="267"/>
        <v>7.0451539667159516E-2</v>
      </c>
      <c r="P552" s="178" t="b">
        <f t="shared" si="237"/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si="268"/>
        <v>117391.53000000003</v>
      </c>
      <c r="T552" s="170">
        <v>-31384</v>
      </c>
      <c r="U552" s="170">
        <f t="shared" si="269"/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257"/>
        <v>0.86486872007406268</v>
      </c>
      <c r="Y552" s="171">
        <f t="shared" si="258"/>
        <v>0.24252318074287207</v>
      </c>
      <c r="Z552" s="784">
        <f t="shared" si="259"/>
        <v>-0.10949510812527166</v>
      </c>
    </row>
    <row r="553" spans="1:26" ht="20.100000000000001" customHeight="1" x14ac:dyDescent="0.25">
      <c r="A553" s="160">
        <f t="shared" si="266"/>
        <v>864</v>
      </c>
      <c r="B553" s="169">
        <v>43097</v>
      </c>
      <c r="C553" s="211">
        <v>2687.54</v>
      </c>
      <c r="D553" s="168">
        <f t="shared" si="264"/>
        <v>1.8340279279212386E-3</v>
      </c>
      <c r="E553" s="205">
        <f t="shared" si="232"/>
        <v>0.27829569452635977</v>
      </c>
      <c r="F553" s="215">
        <v>6950.16</v>
      </c>
      <c r="G553" s="168">
        <f t="shared" si="265"/>
        <v>1.560669401801028E-3</v>
      </c>
      <c r="H553" s="199">
        <f t="shared" si="261"/>
        <v>0.36499793782037437</v>
      </c>
      <c r="I553" s="217">
        <v>338405.59</v>
      </c>
      <c r="J553" s="170">
        <v>290000</v>
      </c>
      <c r="K553" s="170">
        <f t="shared" si="262"/>
        <v>132.05999999999767</v>
      </c>
      <c r="L553" s="168">
        <f t="shared" si="270"/>
        <v>3.9039412868041335E-4</v>
      </c>
      <c r="M553" s="178">
        <f t="shared" si="236"/>
        <v>48405.590000000026</v>
      </c>
      <c r="N553" s="180">
        <f t="shared" si="242"/>
        <v>0.16691582758620699</v>
      </c>
      <c r="O553" s="179">
        <f t="shared" si="267"/>
        <v>7.0562506974377437E-2</v>
      </c>
      <c r="P553" s="178" t="b">
        <f t="shared" si="237"/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si="268"/>
        <v>119245.49000000002</v>
      </c>
      <c r="T553" s="170">
        <v>-31468</v>
      </c>
      <c r="U553" s="170">
        <f t="shared" si="269"/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257"/>
        <v>0.87196639247550867</v>
      </c>
      <c r="Y553" s="171">
        <f t="shared" si="258"/>
        <v>0.24312627361668496</v>
      </c>
      <c r="Z553" s="784">
        <f t="shared" si="259"/>
        <v>-0.11137986694015278</v>
      </c>
    </row>
    <row r="554" spans="1:26" ht="20.100000000000001" customHeight="1" x14ac:dyDescent="0.25">
      <c r="A554" s="160">
        <f t="shared" si="266"/>
        <v>865</v>
      </c>
      <c r="B554" s="169">
        <v>43098</v>
      </c>
      <c r="C554" s="211">
        <v>2673.61</v>
      </c>
      <c r="D554" s="168">
        <f t="shared" si="264"/>
        <v>-5.1831786689685872E-3</v>
      </c>
      <c r="E554" s="205">
        <f t="shared" ref="E554:E617" si="271">(C554-$C$2)/$C$2</f>
        <v>0.2716700595498564</v>
      </c>
      <c r="F554" s="215">
        <v>6903.38</v>
      </c>
      <c r="G554" s="168">
        <f t="shared" si="265"/>
        <v>-6.7307802985830181E-3</v>
      </c>
      <c r="H554" s="199">
        <f t="shared" si="261"/>
        <v>0.35581043659288653</v>
      </c>
      <c r="I554" s="462">
        <v>337203.38</v>
      </c>
      <c r="J554" s="170">
        <v>290000</v>
      </c>
      <c r="K554" s="170">
        <f t="shared" si="262"/>
        <v>-1202.210000000021</v>
      </c>
      <c r="L554" s="168">
        <f t="shared" si="270"/>
        <v>-3.5525713390255191E-3</v>
      </c>
      <c r="M554" s="462">
        <f t="shared" ref="M554:M617" si="272">I554-J554</f>
        <v>47203.380000000005</v>
      </c>
      <c r="N554" s="180">
        <f t="shared" si="242"/>
        <v>0.16277027586206899</v>
      </c>
      <c r="O554" s="179">
        <f t="shared" si="267"/>
        <v>6.8730454634243585E-2</v>
      </c>
      <c r="P554" s="178" t="b">
        <f t="shared" ref="P554:P617" si="273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si="268"/>
        <v>109209.98000000001</v>
      </c>
      <c r="T554" s="170">
        <v>-31748</v>
      </c>
      <c r="U554" s="170">
        <f t="shared" si="269"/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257"/>
        <v>0.85065238681758393</v>
      </c>
      <c r="Y554" s="171">
        <f t="shared" si="258"/>
        <v>0.237017994501803</v>
      </c>
      <c r="Z554" s="784">
        <f t="shared" si="259"/>
        <v>-0.10889978368778741</v>
      </c>
    </row>
    <row r="555" spans="1:26" ht="20.100000000000001" customHeight="1" x14ac:dyDescent="0.25">
      <c r="A555" s="160">
        <f t="shared" si="266"/>
        <v>869</v>
      </c>
      <c r="B555" s="169">
        <v>43102</v>
      </c>
      <c r="C555" s="211">
        <v>2695.81</v>
      </c>
      <c r="D555" s="168">
        <f t="shared" si="264"/>
        <v>8.3033800741319098E-3</v>
      </c>
      <c r="E555" s="205">
        <f t="shared" si="271"/>
        <v>0.28222921938319279</v>
      </c>
      <c r="F555" s="215">
        <v>7006.89</v>
      </c>
      <c r="G555" s="168">
        <f t="shared" si="265"/>
        <v>1.4994104337295675E-2</v>
      </c>
      <c r="H555" s="199">
        <f t="shared" si="261"/>
        <v>0.37613959974075467</v>
      </c>
      <c r="I555" s="217">
        <v>343412.47999999998</v>
      </c>
      <c r="J555" s="170">
        <v>290000</v>
      </c>
      <c r="K555" s="170">
        <f t="shared" si="262"/>
        <v>6209.0999999999767</v>
      </c>
      <c r="L555" s="168">
        <f t="shared" si="270"/>
        <v>1.8413516495593776E-2</v>
      </c>
      <c r="M555" s="178">
        <f t="shared" si="272"/>
        <v>53412.479999999981</v>
      </c>
      <c r="N555" s="180">
        <f t="shared" si="242"/>
        <v>0.18418096551724131</v>
      </c>
      <c r="O555" s="179">
        <f t="shared" si="267"/>
        <v>7.7413230903535551E-2</v>
      </c>
      <c r="P555" s="178" t="b">
        <f t="shared" si="273"/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si="268"/>
        <v>116207.37999999998</v>
      </c>
      <c r="T555" s="170">
        <v>-30580</v>
      </c>
      <c r="U555" s="170">
        <f t="shared" si="269"/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257"/>
        <v>0.87976823465996945</v>
      </c>
      <c r="Y555" s="171">
        <f t="shared" si="258"/>
        <v>0.26697253126120757</v>
      </c>
      <c r="Z555" s="784">
        <f t="shared" si="259"/>
        <v>-9.8048253865951479E-2</v>
      </c>
    </row>
    <row r="556" spans="1:26" ht="20.100000000000001" customHeight="1" x14ac:dyDescent="0.25">
      <c r="A556" s="160">
        <f t="shared" si="266"/>
        <v>870</v>
      </c>
      <c r="B556" s="169">
        <v>43103</v>
      </c>
      <c r="C556" s="211">
        <v>2713.06</v>
      </c>
      <c r="D556" s="168">
        <f t="shared" si="264"/>
        <v>6.3988189078607177E-3</v>
      </c>
      <c r="E556" s="205">
        <f t="shared" si="271"/>
        <v>0.29043397195639348</v>
      </c>
      <c r="F556" s="215">
        <v>7065.53</v>
      </c>
      <c r="G556" s="168">
        <f t="shared" si="265"/>
        <v>8.3689054630512842E-3</v>
      </c>
      <c r="H556" s="199">
        <f t="shared" si="261"/>
        <v>0.38765638195494628</v>
      </c>
      <c r="I556" s="217">
        <v>344644.23</v>
      </c>
      <c r="J556" s="170">
        <v>290000</v>
      </c>
      <c r="K556" s="170">
        <f t="shared" si="262"/>
        <v>1231.75</v>
      </c>
      <c r="L556" s="168">
        <f t="shared" si="270"/>
        <v>3.5867945160292371E-3</v>
      </c>
      <c r="M556" s="178">
        <f t="shared" si="272"/>
        <v>54644.229999999981</v>
      </c>
      <c r="N556" s="180">
        <f t="shared" si="242"/>
        <v>0.18842837931034476</v>
      </c>
      <c r="O556" s="179">
        <f t="shared" si="267"/>
        <v>7.9107431658739555E-2</v>
      </c>
      <c r="P556" s="178" t="b">
        <f t="shared" si="273"/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si="268"/>
        <v>114939.32999999999</v>
      </c>
      <c r="T556" s="170">
        <v>-31165</v>
      </c>
      <c r="U556" s="170">
        <f t="shared" si="269"/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257"/>
        <v>0.90472592654327422</v>
      </c>
      <c r="Y556" s="171">
        <f t="shared" si="258"/>
        <v>0.27305573993544613</v>
      </c>
      <c r="Z556" s="784">
        <f t="shared" si="259"/>
        <v>-0.10200559264604872</v>
      </c>
    </row>
    <row r="557" spans="1:26" ht="20.100000000000001" customHeight="1" x14ac:dyDescent="0.25">
      <c r="A557" s="160">
        <f t="shared" si="266"/>
        <v>871</v>
      </c>
      <c r="B557" s="169">
        <v>43104</v>
      </c>
      <c r="C557" s="211">
        <v>2723.99</v>
      </c>
      <c r="D557" s="168">
        <f t="shared" si="264"/>
        <v>4.0286613639211209E-3</v>
      </c>
      <c r="E557" s="205">
        <f t="shared" si="271"/>
        <v>0.29563269344190546</v>
      </c>
      <c r="F557" s="215">
        <v>7077.91</v>
      </c>
      <c r="G557" s="168">
        <f t="shared" si="265"/>
        <v>1.7521686271235292E-3</v>
      </c>
      <c r="H557" s="199">
        <f t="shared" si="261"/>
        <v>0.39008778993263549</v>
      </c>
      <c r="I557" s="217">
        <v>346398.26</v>
      </c>
      <c r="J557" s="170">
        <v>290000</v>
      </c>
      <c r="K557" s="170">
        <f t="shared" si="262"/>
        <v>1754.0300000000279</v>
      </c>
      <c r="L557" s="168">
        <f t="shared" si="270"/>
        <v>5.0893931983136001E-3</v>
      </c>
      <c r="M557" s="178">
        <f t="shared" si="272"/>
        <v>56398.260000000009</v>
      </c>
      <c r="N557" s="180">
        <f t="shared" si="242"/>
        <v>0.19447675862068969</v>
      </c>
      <c r="O557" s="179">
        <f t="shared" si="267"/>
        <v>8.1552969100122732E-2</v>
      </c>
      <c r="P557" s="178" t="b">
        <f t="shared" si="273"/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si="268"/>
        <v>103512.56</v>
      </c>
      <c r="T557" s="170">
        <v>-32271</v>
      </c>
      <c r="U557" s="170">
        <f t="shared" si="269"/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257"/>
        <v>0.92055057061790302</v>
      </c>
      <c r="Y557" s="171">
        <f t="shared" si="258"/>
        <v>0.28173618304296705</v>
      </c>
      <c r="Z557" s="784">
        <f t="shared" si="259"/>
        <v>-0.10115593482121576</v>
      </c>
    </row>
    <row r="558" spans="1:26" ht="20.100000000000001" customHeight="1" x14ac:dyDescent="0.25">
      <c r="A558" s="160">
        <f t="shared" si="266"/>
        <v>872</v>
      </c>
      <c r="B558" s="169">
        <v>43105</v>
      </c>
      <c r="C558" s="211">
        <v>2743.15</v>
      </c>
      <c r="D558" s="168">
        <f t="shared" si="264"/>
        <v>7.0337996835525499E-3</v>
      </c>
      <c r="E558" s="205">
        <f t="shared" si="271"/>
        <v>0.30474591427103748</v>
      </c>
      <c r="F558" s="215">
        <v>7136.55</v>
      </c>
      <c r="G558" s="168">
        <f t="shared" si="265"/>
        <v>8.2849315687823569E-3</v>
      </c>
      <c r="H558" s="199">
        <f t="shared" si="261"/>
        <v>0.40160457214682727</v>
      </c>
      <c r="I558" s="217">
        <v>346659.69</v>
      </c>
      <c r="J558" s="170">
        <v>290000</v>
      </c>
      <c r="K558" s="170">
        <f t="shared" si="262"/>
        <v>261.42999999999302</v>
      </c>
      <c r="L558" s="168">
        <f t="shared" ref="L558:L589" si="274">K558/I557</f>
        <v>7.5470933370159826E-4</v>
      </c>
      <c r="M558" s="178">
        <f t="shared" si="272"/>
        <v>56659.69</v>
      </c>
      <c r="N558" s="180">
        <f t="shared" si="242"/>
        <v>0.19537824137931034</v>
      </c>
      <c r="O558" s="179">
        <f t="shared" si="267"/>
        <v>8.1837044339212267E-2</v>
      </c>
      <c r="P558" s="178" t="b">
        <f t="shared" si="273"/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si="268"/>
        <v>124974.48999999999</v>
      </c>
      <c r="T558" s="170">
        <v>-31364</v>
      </c>
      <c r="U558" s="170">
        <f t="shared" si="269"/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257"/>
        <v>0.9481882972237784</v>
      </c>
      <c r="Y558" s="171">
        <f t="shared" si="258"/>
        <v>0.28297259400884972</v>
      </c>
      <c r="Z558" s="784">
        <f t="shared" si="259"/>
        <v>-0.10936767289172714</v>
      </c>
    </row>
    <row r="559" spans="1:26" ht="20.100000000000001" customHeight="1" x14ac:dyDescent="0.25">
      <c r="A559" s="160">
        <f t="shared" si="266"/>
        <v>875</v>
      </c>
      <c r="B559" s="169">
        <v>43108</v>
      </c>
      <c r="C559" s="211">
        <v>2747.71</v>
      </c>
      <c r="D559" s="168">
        <f t="shared" si="264"/>
        <v>1.662322512440058E-3</v>
      </c>
      <c r="E559" s="205">
        <f t="shared" si="271"/>
        <v>0.30691482277734439</v>
      </c>
      <c r="F559" s="215">
        <v>7157.38</v>
      </c>
      <c r="G559" s="168">
        <f t="shared" si="265"/>
        <v>2.9187772803385289E-3</v>
      </c>
      <c r="H559" s="199">
        <f t="shared" si="261"/>
        <v>0.40569554372802802</v>
      </c>
      <c r="I559" s="217">
        <v>347500.29</v>
      </c>
      <c r="J559" s="170">
        <v>290000</v>
      </c>
      <c r="K559" s="170">
        <f t="shared" si="262"/>
        <v>840.59999999997672</v>
      </c>
      <c r="L559" s="168">
        <f t="shared" si="274"/>
        <v>2.4248564925445377E-3</v>
      </c>
      <c r="M559" s="178">
        <f t="shared" si="272"/>
        <v>57500.289999999979</v>
      </c>
      <c r="N559" s="180">
        <f t="shared" si="242"/>
        <v>0.19827686206896544</v>
      </c>
      <c r="O559" s="179">
        <f t="shared" si="267"/>
        <v>8.2766427280788146E-2</v>
      </c>
      <c r="P559" s="178" t="b">
        <f t="shared" si="273"/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si="268"/>
        <v>121497.78999999998</v>
      </c>
      <c r="T559" s="170">
        <v>-30809</v>
      </c>
      <c r="U559" s="170">
        <f t="shared" si="269"/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257"/>
        <v>0.95250385631962065</v>
      </c>
      <c r="Y559" s="171">
        <f t="shared" si="258"/>
        <v>0.28644138210468678</v>
      </c>
      <c r="Z559" s="784">
        <f t="shared" si="259"/>
        <v>-0.10863796070837894</v>
      </c>
    </row>
    <row r="560" spans="1:26" ht="20.100000000000001" customHeight="1" x14ac:dyDescent="0.25">
      <c r="A560" s="160">
        <f t="shared" si="266"/>
        <v>876</v>
      </c>
      <c r="B560" s="169">
        <v>43109</v>
      </c>
      <c r="C560" s="211">
        <v>2751.29</v>
      </c>
      <c r="D560" s="168">
        <f t="shared" si="264"/>
        <v>1.3029031448005528E-3</v>
      </c>
      <c r="E560" s="205">
        <f t="shared" si="271"/>
        <v>0.30861760620992745</v>
      </c>
      <c r="F560" s="215">
        <v>7163.57</v>
      </c>
      <c r="G560" s="168">
        <f t="shared" si="265"/>
        <v>8.6484160405058829E-4</v>
      </c>
      <c r="H560" s="199">
        <f t="shared" si="261"/>
        <v>0.40691124771687254</v>
      </c>
      <c r="I560" s="217">
        <v>347598.39</v>
      </c>
      <c r="J560" s="170">
        <v>290000</v>
      </c>
      <c r="K560" s="170">
        <f t="shared" si="262"/>
        <v>98.100000000034925</v>
      </c>
      <c r="L560" s="168">
        <f t="shared" si="274"/>
        <v>2.8230192268338807E-4</v>
      </c>
      <c r="M560" s="178">
        <f t="shared" si="272"/>
        <v>57598.390000000014</v>
      </c>
      <c r="N560" s="180">
        <f t="shared" si="242"/>
        <v>0.19861513793103452</v>
      </c>
      <c r="O560" s="179">
        <f t="shared" si="267"/>
        <v>8.2812989873641968E-2</v>
      </c>
      <c r="P560" s="178" t="b">
        <f t="shared" si="273"/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si="268"/>
        <v>121497.79000000001</v>
      </c>
      <c r="T560" s="170">
        <v>-31069</v>
      </c>
      <c r="U560" s="170">
        <f t="shared" si="269"/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257"/>
        <v>0.95754758897981262</v>
      </c>
      <c r="Y560" s="171">
        <f t="shared" si="258"/>
        <v>0.28686005262049236</v>
      </c>
      <c r="Z560" s="784">
        <f t="shared" si="259"/>
        <v>-0.11000246827889293</v>
      </c>
    </row>
    <row r="561" spans="1:26" ht="20.100000000000001" customHeight="1" x14ac:dyDescent="0.25">
      <c r="A561" s="160">
        <f t="shared" si="266"/>
        <v>877</v>
      </c>
      <c r="B561" s="169">
        <v>43110</v>
      </c>
      <c r="C561" s="211">
        <v>2748.23</v>
      </c>
      <c r="D561" s="168">
        <f t="shared" si="264"/>
        <v>-1.1122055472160134E-3</v>
      </c>
      <c r="E561" s="205">
        <f t="shared" si="271"/>
        <v>0.30716215444911626</v>
      </c>
      <c r="F561" s="215">
        <v>7153.57</v>
      </c>
      <c r="G561" s="168">
        <f t="shared" si="265"/>
        <v>-1.3959520183372258E-3</v>
      </c>
      <c r="H561" s="199">
        <f t="shared" si="261"/>
        <v>0.40494726712100082</v>
      </c>
      <c r="I561" s="217">
        <v>346712.84</v>
      </c>
      <c r="J561" s="170">
        <v>290000</v>
      </c>
      <c r="K561" s="170">
        <f t="shared" si="262"/>
        <v>-885.54999999998836</v>
      </c>
      <c r="L561" s="168">
        <f t="shared" si="274"/>
        <v>-2.5476239979131902E-3</v>
      </c>
      <c r="M561" s="178">
        <f t="shared" si="272"/>
        <v>56712.840000000026</v>
      </c>
      <c r="N561" s="180">
        <f t="shared" si="242"/>
        <v>0.19556151724137941</v>
      </c>
      <c r="O561" s="179">
        <f t="shared" si="267"/>
        <v>8.1446800652695356E-2</v>
      </c>
      <c r="P561" s="178" t="b">
        <f t="shared" si="273"/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si="268"/>
        <v>121497.79000000004</v>
      </c>
      <c r="T561" s="170">
        <v>-30783</v>
      </c>
      <c r="U561" s="170">
        <f t="shared" si="269"/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257"/>
        <v>0.9527675565157494</v>
      </c>
      <c r="Y561" s="171">
        <f t="shared" si="258"/>
        <v>0.28237304873145685</v>
      </c>
      <c r="Z561" s="784">
        <f t="shared" si="259"/>
        <v>-0.11160063720773686</v>
      </c>
    </row>
    <row r="562" spans="1:26" ht="20.100000000000001" customHeight="1" x14ac:dyDescent="0.25">
      <c r="A562" s="160">
        <f t="shared" si="266"/>
        <v>878</v>
      </c>
      <c r="B562" s="169">
        <v>43111</v>
      </c>
      <c r="C562" s="211">
        <v>2767.56</v>
      </c>
      <c r="D562" s="168">
        <f t="shared" si="264"/>
        <v>7.0336180014045138E-3</v>
      </c>
      <c r="E562" s="205">
        <f t="shared" si="271"/>
        <v>0.31635623370940424</v>
      </c>
      <c r="F562" s="215">
        <v>7211.77</v>
      </c>
      <c r="G562" s="168">
        <f t="shared" si="265"/>
        <v>8.1357979302642911E-3</v>
      </c>
      <c r="H562" s="199">
        <f t="shared" si="261"/>
        <v>0.41637763418897433</v>
      </c>
      <c r="I562" s="217">
        <v>352178.1</v>
      </c>
      <c r="J562" s="170">
        <v>290000</v>
      </c>
      <c r="K562" s="170">
        <f t="shared" si="262"/>
        <v>5465.2599999999511</v>
      </c>
      <c r="L562" s="168">
        <f t="shared" si="274"/>
        <v>1.5763073556779583E-2</v>
      </c>
      <c r="M562" s="178">
        <f t="shared" si="272"/>
        <v>62178.099999999977</v>
      </c>
      <c r="N562" s="180">
        <f t="shared" si="242"/>
        <v>0.21440724137931028</v>
      </c>
      <c r="O562" s="179">
        <f t="shared" si="267"/>
        <v>8.9193900812976179E-2</v>
      </c>
      <c r="P562" s="178" t="b">
        <f t="shared" si="273"/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si="268"/>
        <v>134078.84999999998</v>
      </c>
      <c r="T562" s="170">
        <v>-30666</v>
      </c>
      <c r="U562" s="170">
        <f t="shared" si="269"/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257"/>
        <v>0.980525553568381</v>
      </c>
      <c r="Y562" s="171">
        <f t="shared" si="258"/>
        <v>0.30931697621686</v>
      </c>
      <c r="Z562" s="784">
        <f t="shared" si="259"/>
        <v>-0.10194899233009397</v>
      </c>
    </row>
    <row r="563" spans="1:26" ht="20.100000000000001" customHeight="1" x14ac:dyDescent="0.25">
      <c r="A563" s="160">
        <f t="shared" si="266"/>
        <v>879</v>
      </c>
      <c r="B563" s="169">
        <v>43112</v>
      </c>
      <c r="C563" s="211">
        <v>2786.24</v>
      </c>
      <c r="D563" s="168">
        <f t="shared" si="264"/>
        <v>6.7496278310135412E-3</v>
      </c>
      <c r="E563" s="205">
        <f t="shared" si="271"/>
        <v>0.32524114837997742</v>
      </c>
      <c r="F563" s="215">
        <v>7261.06</v>
      </c>
      <c r="G563" s="168">
        <f t="shared" si="265"/>
        <v>6.8346605618315563E-3</v>
      </c>
      <c r="H563" s="199">
        <f t="shared" si="261"/>
        <v>0.426058094546026</v>
      </c>
      <c r="I563" s="217">
        <v>354257.05</v>
      </c>
      <c r="J563" s="170">
        <v>290000</v>
      </c>
      <c r="K563" s="170">
        <f t="shared" si="262"/>
        <v>2078.9500000000116</v>
      </c>
      <c r="L563" s="168">
        <f t="shared" si="274"/>
        <v>5.9031211764729603E-3</v>
      </c>
      <c r="M563" s="178">
        <f t="shared" si="272"/>
        <v>64257.049999999988</v>
      </c>
      <c r="N563" s="180">
        <f t="shared" si="242"/>
        <v>0.22157603448275859</v>
      </c>
      <c r="O563" s="179">
        <f t="shared" si="267"/>
        <v>9.2071270301282801E-2</v>
      </c>
      <c r="P563" s="178" t="b">
        <f t="shared" si="273"/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si="268"/>
        <v>144144.44999999998</v>
      </c>
      <c r="T563" s="170">
        <v>-30546</v>
      </c>
      <c r="U563" s="170">
        <f t="shared" si="269"/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257"/>
        <v>1.0073300609926426</v>
      </c>
      <c r="Y563" s="171">
        <f t="shared" si="258"/>
        <v>0.31955709108186414</v>
      </c>
      <c r="Z563" s="784">
        <f t="shared" si="259"/>
        <v>-0.10366511389721883</v>
      </c>
    </row>
    <row r="564" spans="1:26" ht="20.100000000000001" customHeight="1" x14ac:dyDescent="0.25">
      <c r="A564" s="160">
        <f t="shared" si="266"/>
        <v>883</v>
      </c>
      <c r="B564" s="169">
        <v>43116</v>
      </c>
      <c r="C564" s="211">
        <v>2776.42</v>
      </c>
      <c r="D564" s="168">
        <f t="shared" si="264"/>
        <v>-3.5244630756861252E-3</v>
      </c>
      <c r="E564" s="205">
        <f t="shared" si="271"/>
        <v>0.32057038488613232</v>
      </c>
      <c r="F564" s="215">
        <v>7223.68</v>
      </c>
      <c r="G564" s="168">
        <f t="shared" si="265"/>
        <v>-5.148008692945673E-3</v>
      </c>
      <c r="H564" s="199">
        <f t="shared" si="261"/>
        <v>0.41871673507865753</v>
      </c>
      <c r="I564" s="217">
        <v>351080.55</v>
      </c>
      <c r="J564" s="170">
        <v>290000</v>
      </c>
      <c r="K564" s="170">
        <f t="shared" si="262"/>
        <v>-3176.5</v>
      </c>
      <c r="L564" s="168">
        <f t="shared" si="274"/>
        <v>-8.9666528866539138E-3</v>
      </c>
      <c r="M564" s="178">
        <f t="shared" si="272"/>
        <v>61080.549999999988</v>
      </c>
      <c r="N564" s="180">
        <f t="shared" si="242"/>
        <v>0.2106225862068965</v>
      </c>
      <c r="O564" s="179">
        <f t="shared" si="267"/>
        <v>8.7123329118990886E-2</v>
      </c>
      <c r="P564" s="178" t="b">
        <f t="shared" si="273"/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si="268"/>
        <v>134435.44999999998</v>
      </c>
      <c r="T564" s="170">
        <v>-30403</v>
      </c>
      <c r="U564" s="170">
        <f t="shared" si="269"/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257"/>
        <v>0.9890446437534286</v>
      </c>
      <c r="Y564" s="171">
        <f t="shared" si="258"/>
        <v>0.30257794885746647</v>
      </c>
      <c r="Z564" s="784">
        <f t="shared" si="259"/>
        <v>-0.10994779867923582</v>
      </c>
    </row>
    <row r="565" spans="1:26" ht="20.100000000000001" customHeight="1" x14ac:dyDescent="0.25">
      <c r="A565" s="160">
        <f t="shared" si="266"/>
        <v>884</v>
      </c>
      <c r="B565" s="169">
        <v>43117</v>
      </c>
      <c r="C565" s="211">
        <v>2802.56</v>
      </c>
      <c r="D565" s="168">
        <f t="shared" si="264"/>
        <v>9.4150020530034614E-3</v>
      </c>
      <c r="E565" s="205">
        <f t="shared" si="271"/>
        <v>0.33300355777097079</v>
      </c>
      <c r="F565" s="215">
        <v>7298.27</v>
      </c>
      <c r="G565" s="168">
        <f t="shared" si="265"/>
        <v>1.0325761938513353E-2</v>
      </c>
      <c r="H565" s="199">
        <f t="shared" si="261"/>
        <v>0.43336606634326469</v>
      </c>
      <c r="I565" s="217">
        <v>354388.75</v>
      </c>
      <c r="J565" s="170">
        <v>290000</v>
      </c>
      <c r="K565" s="170">
        <f t="shared" si="262"/>
        <v>3308.2000000000116</v>
      </c>
      <c r="L565" s="168">
        <f t="shared" si="274"/>
        <v>9.4229087883108634E-3</v>
      </c>
      <c r="M565" s="178">
        <f t="shared" si="272"/>
        <v>64388.75</v>
      </c>
      <c r="N565" s="180">
        <f t="shared" si="242"/>
        <v>0.22203017241379311</v>
      </c>
      <c r="O565" s="179">
        <f t="shared" si="267"/>
        <v>9.1738145332735208E-2</v>
      </c>
      <c r="P565" s="178" t="b">
        <f t="shared" si="273"/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si="268"/>
        <v>144022.1</v>
      </c>
      <c r="T565" s="170">
        <v>-29857</v>
      </c>
      <c r="U565" s="170">
        <f t="shared" si="269"/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257"/>
        <v>1.0261465163851142</v>
      </c>
      <c r="Y565" s="171">
        <f t="shared" ref="Y565:Y596" si="275">O565/W565</f>
        <v>0.31882255498684342</v>
      </c>
      <c r="Z565" s="784">
        <f t="shared" si="259"/>
        <v>-0.11097338535717768</v>
      </c>
    </row>
    <row r="566" spans="1:26" ht="20.100000000000001" customHeight="1" x14ac:dyDescent="0.25">
      <c r="A566" s="160">
        <f t="shared" si="266"/>
        <v>885</v>
      </c>
      <c r="B566" s="169">
        <v>43118</v>
      </c>
      <c r="C566" s="211">
        <v>2798.03</v>
      </c>
      <c r="D566" s="168">
        <f t="shared" si="264"/>
        <v>-1.6163793103447367E-3</v>
      </c>
      <c r="E566" s="205">
        <f t="shared" si="271"/>
        <v>0.33084891839957387</v>
      </c>
      <c r="F566" s="215">
        <v>7296.04</v>
      </c>
      <c r="G566" s="168">
        <f t="shared" si="265"/>
        <v>-3.0555186366090493E-4</v>
      </c>
      <c r="H566" s="199">
        <f t="shared" si="261"/>
        <v>0.43292809867038518</v>
      </c>
      <c r="I566" s="217">
        <v>353987.72</v>
      </c>
      <c r="J566" s="170">
        <v>290000</v>
      </c>
      <c r="K566" s="170">
        <f t="shared" si="262"/>
        <v>-401.03000000002794</v>
      </c>
      <c r="L566" s="168">
        <f t="shared" si="274"/>
        <v>-1.1316104137053672E-3</v>
      </c>
      <c r="M566" s="178">
        <f t="shared" si="272"/>
        <v>63987.719999999972</v>
      </c>
      <c r="N566" s="180">
        <f t="shared" si="242"/>
        <v>0.22064731034482749</v>
      </c>
      <c r="O566" s="179">
        <f t="shared" si="267"/>
        <v>9.1063762828755071E-2</v>
      </c>
      <c r="P566" s="178" t="b">
        <f t="shared" si="273"/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si="268"/>
        <v>141582.06999999998</v>
      </c>
      <c r="T566" s="170">
        <v>-30624</v>
      </c>
      <c r="U566" s="170">
        <f t="shared" si="269"/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257"/>
        <v>1.0192013082546669</v>
      </c>
      <c r="Y566" s="171">
        <f t="shared" si="275"/>
        <v>0.31675752410721358</v>
      </c>
      <c r="Z566" s="784">
        <f t="shared" si="259"/>
        <v>-0.11020160805474638</v>
      </c>
    </row>
    <row r="567" spans="1:26" ht="20.100000000000001" customHeight="1" x14ac:dyDescent="0.25">
      <c r="A567" s="160">
        <f t="shared" si="266"/>
        <v>886</v>
      </c>
      <c r="B567" s="169">
        <v>43119</v>
      </c>
      <c r="C567" s="211">
        <v>2810.3</v>
      </c>
      <c r="D567" s="168">
        <f t="shared" si="264"/>
        <v>4.3852281783969367E-3</v>
      </c>
      <c r="E567" s="205">
        <f t="shared" si="271"/>
        <v>0.33668499457772877</v>
      </c>
      <c r="F567" s="215">
        <v>7336.38</v>
      </c>
      <c r="G567" s="168">
        <f t="shared" si="265"/>
        <v>5.5290267048974714E-3</v>
      </c>
      <c r="H567" s="199">
        <f t="shared" si="261"/>
        <v>0.44085079639413172</v>
      </c>
      <c r="I567" s="217">
        <v>365192.76</v>
      </c>
      <c r="J567" s="170">
        <v>300000</v>
      </c>
      <c r="K567" s="170">
        <f t="shared" si="262"/>
        <v>1205.0400000000373</v>
      </c>
      <c r="L567" s="168">
        <f t="shared" si="274"/>
        <v>3.4041858853183873E-3</v>
      </c>
      <c r="M567" s="178">
        <f t="shared" si="272"/>
        <v>65192.760000000009</v>
      </c>
      <c r="N567" s="180">
        <f t="shared" si="242"/>
        <v>0.21730920000000004</v>
      </c>
      <c r="O567" s="179">
        <f t="shared" si="267"/>
        <v>8.9584859255079016E-2</v>
      </c>
      <c r="P567" s="178" t="b">
        <f t="shared" si="273"/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si="268"/>
        <v>160521.86000000002</v>
      </c>
      <c r="T567" s="170">
        <v>-30347</v>
      </c>
      <c r="U567" s="170">
        <f t="shared" si="269"/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257"/>
        <v>1.0367382103603608</v>
      </c>
      <c r="Y567" s="171">
        <f t="shared" si="275"/>
        <v>0.31188354803070534</v>
      </c>
      <c r="Z567" s="784">
        <f t="shared" si="259"/>
        <v>-0.11937579457772873</v>
      </c>
    </row>
    <row r="568" spans="1:26" ht="20.100000000000001" customHeight="1" x14ac:dyDescent="0.25">
      <c r="A568" s="160">
        <f t="shared" si="266"/>
        <v>889</v>
      </c>
      <c r="B568" s="169">
        <v>43122</v>
      </c>
      <c r="C568" s="211">
        <v>2832.97</v>
      </c>
      <c r="D568" s="168">
        <f t="shared" si="264"/>
        <v>8.0667544390277245E-3</v>
      </c>
      <c r="E568" s="205">
        <f t="shared" si="271"/>
        <v>0.34746770419132045</v>
      </c>
      <c r="F568" s="215">
        <v>7408.03</v>
      </c>
      <c r="G568" s="168">
        <f t="shared" si="265"/>
        <v>9.7663970514067742E-3</v>
      </c>
      <c r="H568" s="199">
        <f t="shared" si="261"/>
        <v>0.45492271736355244</v>
      </c>
      <c r="I568" s="217">
        <v>368309.46</v>
      </c>
      <c r="J568" s="170">
        <v>300000</v>
      </c>
      <c r="K568" s="170">
        <f t="shared" si="262"/>
        <v>3116.7000000000116</v>
      </c>
      <c r="L568" s="168">
        <f t="shared" si="274"/>
        <v>8.5343970126899871E-3</v>
      </c>
      <c r="M568" s="178">
        <f t="shared" si="272"/>
        <v>68309.460000000021</v>
      </c>
      <c r="N568" s="180">
        <f t="shared" si="242"/>
        <v>0.22769820000000007</v>
      </c>
      <c r="O568" s="179">
        <f t="shared" si="267"/>
        <v>9.3550919628796428E-2</v>
      </c>
      <c r="P568" s="178" t="b">
        <f t="shared" si="273"/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si="268"/>
        <v>148229.66000000003</v>
      </c>
      <c r="T568" s="170">
        <v>-30244</v>
      </c>
      <c r="U568" s="170">
        <f t="shared" si="269"/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257"/>
        <v>1.0665255307838999</v>
      </c>
      <c r="Y568" s="171">
        <f t="shared" si="275"/>
        <v>0.32592514204778938</v>
      </c>
      <c r="Z568" s="784">
        <f t="shared" si="259"/>
        <v>-0.11976950419132038</v>
      </c>
    </row>
    <row r="569" spans="1:26" ht="20.100000000000001" customHeight="1" x14ac:dyDescent="0.25">
      <c r="A569" s="160">
        <f t="shared" si="266"/>
        <v>890</v>
      </c>
      <c r="B569" s="169">
        <v>43123</v>
      </c>
      <c r="C569" s="211">
        <v>2839.12</v>
      </c>
      <c r="D569" s="168">
        <f t="shared" si="264"/>
        <v>2.170866617013273E-3</v>
      </c>
      <c r="E569" s="205">
        <f t="shared" si="271"/>
        <v>0.35039287684785286</v>
      </c>
      <c r="F569" s="215">
        <v>7460.28</v>
      </c>
      <c r="G569" s="168">
        <f t="shared" si="265"/>
        <v>7.0531571821388413E-3</v>
      </c>
      <c r="H569" s="199">
        <f t="shared" si="261"/>
        <v>0.46518451597698213</v>
      </c>
      <c r="I569" s="217">
        <v>368315.52</v>
      </c>
      <c r="J569" s="170">
        <v>300000</v>
      </c>
      <c r="K569" s="170">
        <f t="shared" si="262"/>
        <v>6.0599999999976717</v>
      </c>
      <c r="L569" s="168">
        <f t="shared" si="274"/>
        <v>1.6453555116389548E-5</v>
      </c>
      <c r="M569" s="178">
        <f t="shared" si="272"/>
        <v>68315.520000000019</v>
      </c>
      <c r="N569" s="180">
        <f t="shared" si="242"/>
        <v>0.22771840000000007</v>
      </c>
      <c r="O569" s="179">
        <f t="shared" si="267"/>
        <v>9.3454096179775306E-2</v>
      </c>
      <c r="P569" s="178" t="b">
        <f t="shared" si="273"/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si="268"/>
        <v>149858.77000000002</v>
      </c>
      <c r="T569" s="170">
        <v>-30209</v>
      </c>
      <c r="U569" s="170">
        <f t="shared" si="269"/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257"/>
        <v>1.0752114170400873</v>
      </c>
      <c r="Y569" s="171">
        <f t="shared" si="275"/>
        <v>0.32587543496883586</v>
      </c>
      <c r="Z569" s="784">
        <f t="shared" si="259"/>
        <v>-0.12267447684785279</v>
      </c>
    </row>
    <row r="570" spans="1:26" ht="20.100000000000001" customHeight="1" x14ac:dyDescent="0.25">
      <c r="A570" s="160">
        <f t="shared" si="266"/>
        <v>891</v>
      </c>
      <c r="B570" s="169">
        <v>43124</v>
      </c>
      <c r="C570" s="211">
        <v>2837.54</v>
      </c>
      <c r="D570" s="168">
        <f t="shared" si="264"/>
        <v>-5.5651046803232239E-4</v>
      </c>
      <c r="E570" s="205">
        <f t="shared" si="271"/>
        <v>0.3496413690759308</v>
      </c>
      <c r="F570" s="215">
        <v>7415.05</v>
      </c>
      <c r="G570" s="168">
        <f t="shared" si="265"/>
        <v>-6.0627751237218395E-3</v>
      </c>
      <c r="H570" s="199">
        <f t="shared" si="261"/>
        <v>0.4563014317418545</v>
      </c>
      <c r="I570" s="217">
        <v>368621.05</v>
      </c>
      <c r="J570" s="170">
        <v>300000</v>
      </c>
      <c r="K570" s="170">
        <f t="shared" si="262"/>
        <v>305.52999999996973</v>
      </c>
      <c r="L570" s="168">
        <f t="shared" si="274"/>
        <v>8.2953333055302617E-4</v>
      </c>
      <c r="M570" s="178">
        <f t="shared" si="272"/>
        <v>68621.049999999988</v>
      </c>
      <c r="N570" s="180">
        <f t="shared" si="242"/>
        <v>0.22873683333333331</v>
      </c>
      <c r="O570" s="179">
        <f t="shared" si="267"/>
        <v>9.3766698512906838E-2</v>
      </c>
      <c r="P570" s="178" t="b">
        <f t="shared" si="273"/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si="268"/>
        <v>149024.19999999998</v>
      </c>
      <c r="T570" s="170">
        <v>-30343</v>
      </c>
      <c r="U570" s="170">
        <f t="shared" si="269"/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257"/>
        <v>1.0726307345929313</v>
      </c>
      <c r="Y570" s="171">
        <f t="shared" si="275"/>
        <v>0.32725417304130078</v>
      </c>
      <c r="Z570" s="784">
        <f t="shared" si="259"/>
        <v>-0.12090453574259749</v>
      </c>
    </row>
    <row r="571" spans="1:26" ht="20.100000000000001" customHeight="1" x14ac:dyDescent="0.25">
      <c r="A571" s="160">
        <f t="shared" si="266"/>
        <v>892</v>
      </c>
      <c r="B571" s="169">
        <v>43125</v>
      </c>
      <c r="C571" s="211">
        <v>2839.25</v>
      </c>
      <c r="D571" s="168">
        <f t="shared" si="264"/>
        <v>6.0263467651558618E-4</v>
      </c>
      <c r="E571" s="205">
        <f t="shared" si="271"/>
        <v>0.3504547097657959</v>
      </c>
      <c r="F571" s="215">
        <v>7411.16</v>
      </c>
      <c r="G571" s="168">
        <f t="shared" si="265"/>
        <v>-5.2460873493777218E-4</v>
      </c>
      <c r="H571" s="199">
        <f t="shared" si="261"/>
        <v>0.4555374432900603</v>
      </c>
      <c r="I571" s="217">
        <v>365192.24</v>
      </c>
      <c r="J571" s="170">
        <v>300000</v>
      </c>
      <c r="K571" s="170">
        <f t="shared" si="262"/>
        <v>-3428.8099999999977</v>
      </c>
      <c r="L571" s="168">
        <f t="shared" si="274"/>
        <v>-9.3017205609934595E-3</v>
      </c>
      <c r="M571" s="178">
        <f t="shared" si="272"/>
        <v>65192.239999999991</v>
      </c>
      <c r="N571" s="180">
        <f t="shared" si="242"/>
        <v>0.21730746666666664</v>
      </c>
      <c r="O571" s="179">
        <f t="shared" si="267"/>
        <v>8.8981560762331838E-2</v>
      </c>
      <c r="P571" s="178" t="b">
        <f t="shared" si="273"/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si="268"/>
        <v>151785.99</v>
      </c>
      <c r="T571" s="170">
        <v>-32432</v>
      </c>
      <c r="U571" s="170">
        <f t="shared" si="269"/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257"/>
        <v>1.0748671873647724</v>
      </c>
      <c r="Y571" s="171">
        <f t="shared" si="275"/>
        <v>0.31074376950994032</v>
      </c>
      <c r="Z571" s="784">
        <f t="shared" si="259"/>
        <v>-0.13314724309912926</v>
      </c>
    </row>
    <row r="572" spans="1:26" ht="20.100000000000001" customHeight="1" x14ac:dyDescent="0.25">
      <c r="A572" s="160">
        <f t="shared" si="266"/>
        <v>893</v>
      </c>
      <c r="B572" s="169">
        <v>43126</v>
      </c>
      <c r="C572" s="211">
        <v>2872.87</v>
      </c>
      <c r="D572" s="168">
        <f t="shared" si="264"/>
        <v>1.1841155234657001E-2</v>
      </c>
      <c r="E572" s="205">
        <f t="shared" si="271"/>
        <v>0.36644565362150633</v>
      </c>
      <c r="F572" s="215">
        <v>7505.77</v>
      </c>
      <c r="G572" s="168">
        <f t="shared" si="265"/>
        <v>1.2765882803771687E-2</v>
      </c>
      <c r="H572" s="199">
        <f t="shared" si="261"/>
        <v>0.47411866370760269</v>
      </c>
      <c r="I572" s="217">
        <v>367940.03</v>
      </c>
      <c r="J572" s="170">
        <v>300000</v>
      </c>
      <c r="K572" s="170">
        <f t="shared" si="262"/>
        <v>2747.7900000000373</v>
      </c>
      <c r="L572" s="168">
        <f t="shared" si="274"/>
        <v>7.5242288828482155E-3</v>
      </c>
      <c r="M572" s="178">
        <f t="shared" si="272"/>
        <v>67940.030000000028</v>
      </c>
      <c r="N572" s="180">
        <f t="shared" si="242"/>
        <v>0.22646676666666676</v>
      </c>
      <c r="O572" s="179">
        <f t="shared" si="267"/>
        <v>9.2628204395296801E-2</v>
      </c>
      <c r="P572" s="178" t="b">
        <f t="shared" si="273"/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si="268"/>
        <v>178212.28000000003</v>
      </c>
      <c r="T572" s="170">
        <v>-32122</v>
      </c>
      <c r="U572" s="170">
        <f t="shared" si="269"/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257"/>
        <v>1.1218703455007415</v>
      </c>
      <c r="Y572" s="171">
        <f t="shared" si="275"/>
        <v>0.32372209409395913</v>
      </c>
      <c r="Z572" s="784">
        <f t="shared" si="259"/>
        <v>-0.13997888695483957</v>
      </c>
    </row>
    <row r="573" spans="1:26" ht="20.100000000000001" customHeight="1" x14ac:dyDescent="0.25">
      <c r="A573" s="160">
        <f t="shared" si="266"/>
        <v>896</v>
      </c>
      <c r="B573" s="169">
        <v>43129</v>
      </c>
      <c r="C573" s="211">
        <v>2853.53</v>
      </c>
      <c r="D573" s="168">
        <f t="shared" si="264"/>
        <v>-6.7319440141738723E-3</v>
      </c>
      <c r="E573" s="205">
        <f t="shared" si="271"/>
        <v>0.35724681798291513</v>
      </c>
      <c r="F573" s="215">
        <v>7466.5</v>
      </c>
      <c r="G573" s="168">
        <f t="shared" si="265"/>
        <v>-5.2319748673354547E-3</v>
      </c>
      <c r="H573" s="199">
        <f t="shared" si="261"/>
        <v>0.46640611190761438</v>
      </c>
      <c r="I573" s="217">
        <v>367642.25</v>
      </c>
      <c r="J573" s="170">
        <v>300000</v>
      </c>
      <c r="K573" s="170">
        <f t="shared" si="262"/>
        <v>-297.78000000002794</v>
      </c>
      <c r="L573" s="168">
        <f t="shared" si="274"/>
        <v>-8.0931667043683151E-4</v>
      </c>
      <c r="M573" s="178">
        <f t="shared" si="272"/>
        <v>67642.25</v>
      </c>
      <c r="N573" s="180">
        <f t="shared" si="242"/>
        <v>0.22547416666666667</v>
      </c>
      <c r="O573" s="179">
        <f t="shared" si="267"/>
        <v>9.1913436802455367E-2</v>
      </c>
      <c r="P573" s="178" t="b">
        <f t="shared" si="273"/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si="268"/>
        <v>177913.5</v>
      </c>
      <c r="T573" s="170">
        <v>-32121</v>
      </c>
      <c r="U573" s="170">
        <f t="shared" si="269"/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257"/>
        <v>1.0902813474554434</v>
      </c>
      <c r="Y573" s="171">
        <f t="shared" si="275"/>
        <v>0.32150433122995509</v>
      </c>
      <c r="Z573" s="784">
        <f t="shared" si="259"/>
        <v>-0.13177265131624846</v>
      </c>
    </row>
    <row r="574" spans="1:26" ht="20.100000000000001" customHeight="1" x14ac:dyDescent="0.25">
      <c r="A574" s="160">
        <f t="shared" si="266"/>
        <v>897</v>
      </c>
      <c r="B574" s="169">
        <v>43130</v>
      </c>
      <c r="C574" s="211">
        <v>2822.43</v>
      </c>
      <c r="D574" s="168">
        <f t="shared" si="264"/>
        <v>-1.0898781509218533E-2</v>
      </c>
      <c r="E574" s="205">
        <f t="shared" si="271"/>
        <v>0.34245448145963725</v>
      </c>
      <c r="F574" s="215">
        <v>7402.48</v>
      </c>
      <c r="G574" s="168">
        <f t="shared" si="265"/>
        <v>-8.5742985334494662E-3</v>
      </c>
      <c r="H574" s="199">
        <f t="shared" si="261"/>
        <v>0.4538327081328436</v>
      </c>
      <c r="I574" s="217">
        <v>363472.55</v>
      </c>
      <c r="J574" s="170">
        <v>300000</v>
      </c>
      <c r="K574" s="170">
        <f t="shared" si="262"/>
        <v>-4169.7000000000116</v>
      </c>
      <c r="L574" s="168">
        <f t="shared" si="274"/>
        <v>-1.1341732349859168E-2</v>
      </c>
      <c r="M574" s="178">
        <f t="shared" si="272"/>
        <v>63472.549999999988</v>
      </c>
      <c r="N574" s="180">
        <f t="shared" si="242"/>
        <v>0.21157516666666662</v>
      </c>
      <c r="O574" s="179">
        <f t="shared" si="267"/>
        <v>8.6151426560758054E-2</v>
      </c>
      <c r="P574" s="178" t="b">
        <f t="shared" si="273"/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si="268"/>
        <v>161319</v>
      </c>
      <c r="T574" s="170">
        <v>-32010</v>
      </c>
      <c r="U574" s="170">
        <f t="shared" si="269"/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257"/>
        <v>1.0431909998648377</v>
      </c>
      <c r="Y574" s="171">
        <f t="shared" si="275"/>
        <v>0.30149621670372895</v>
      </c>
      <c r="Z574" s="784">
        <f t="shared" si="259"/>
        <v>-0.13087931479297063</v>
      </c>
    </row>
    <row r="575" spans="1:26" ht="20.100000000000001" customHeight="1" x14ac:dyDescent="0.25">
      <c r="A575" s="160">
        <f t="shared" si="266"/>
        <v>898</v>
      </c>
      <c r="B575" s="169">
        <v>43131</v>
      </c>
      <c r="C575" s="211">
        <v>2823.81</v>
      </c>
      <c r="D575" s="168">
        <f t="shared" si="264"/>
        <v>4.8894038116095327E-4</v>
      </c>
      <c r="E575" s="205">
        <f t="shared" si="271"/>
        <v>0.34311086166549337</v>
      </c>
      <c r="F575" s="215">
        <v>7411.48</v>
      </c>
      <c r="G575" s="168">
        <f t="shared" si="265"/>
        <v>1.215808755984481E-3</v>
      </c>
      <c r="H575" s="199">
        <f t="shared" ref="H575:H606" si="276">(F575-F$2)/F$2</f>
        <v>0.45560029066912816</v>
      </c>
      <c r="I575" s="462">
        <v>363062.5</v>
      </c>
      <c r="J575" s="170">
        <v>300000</v>
      </c>
      <c r="K575" s="170">
        <f t="shared" ref="K575:K606" si="277">I575-I574-J575+J574</f>
        <v>-410.04999999998836</v>
      </c>
      <c r="L575" s="168">
        <f t="shared" si="274"/>
        <v>-1.1281457155429987E-3</v>
      </c>
      <c r="M575" s="462">
        <f t="shared" si="272"/>
        <v>63062.5</v>
      </c>
      <c r="N575" s="180">
        <f t="shared" si="242"/>
        <v>0.21020833333333333</v>
      </c>
      <c r="O575" s="179">
        <f t="shared" si="267"/>
        <v>8.5499547605790635E-2</v>
      </c>
      <c r="P575" s="178" t="b">
        <f t="shared" si="273"/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si="268"/>
        <v>137246</v>
      </c>
      <c r="T575" s="170">
        <v>-31812</v>
      </c>
      <c r="U575" s="170">
        <f t="shared" si="269"/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257"/>
        <v>1.0449403282928045</v>
      </c>
      <c r="Y575" s="171">
        <f t="shared" si="275"/>
        <v>0.29947424513700288</v>
      </c>
      <c r="Z575" s="784">
        <f t="shared" si="259"/>
        <v>-0.13290252833216004</v>
      </c>
    </row>
    <row r="576" spans="1:26" ht="20.100000000000001" customHeight="1" x14ac:dyDescent="0.25">
      <c r="A576" s="160">
        <f t="shared" si="266"/>
        <v>899</v>
      </c>
      <c r="B576" s="169">
        <v>43132</v>
      </c>
      <c r="C576" s="211">
        <v>2821.98</v>
      </c>
      <c r="D576" s="168">
        <f t="shared" ref="D576:D607" si="278">(C576-C575)/C575</f>
        <v>-6.4806059897795079E-4</v>
      </c>
      <c r="E576" s="205">
        <f t="shared" si="271"/>
        <v>0.34224044443598861</v>
      </c>
      <c r="F576" s="215">
        <v>7385.86</v>
      </c>
      <c r="G576" s="168">
        <f t="shared" ref="G576:G607" si="279">(F576-F575)/F575</f>
        <v>-3.4567994516614621E-3</v>
      </c>
      <c r="H576" s="199">
        <f t="shared" si="276"/>
        <v>0.45056857238250486</v>
      </c>
      <c r="I576" s="217">
        <v>363770.56</v>
      </c>
      <c r="J576" s="170">
        <v>300000</v>
      </c>
      <c r="K576" s="170">
        <f t="shared" si="277"/>
        <v>708.05999999999767</v>
      </c>
      <c r="L576" s="168">
        <f t="shared" si="274"/>
        <v>1.95024272680323E-3</v>
      </c>
      <c r="M576" s="178">
        <f t="shared" si="272"/>
        <v>63770.559999999998</v>
      </c>
      <c r="N576" s="180">
        <f t="shared" si="242"/>
        <v>0.21256853333333334</v>
      </c>
      <c r="O576" s="179">
        <f t="shared" si="267"/>
        <v>8.6363355728587318E-2</v>
      </c>
      <c r="P576" s="178" t="b">
        <f t="shared" si="273"/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si="268"/>
        <v>130372.06</v>
      </c>
      <c r="T576" s="170">
        <v>-31543</v>
      </c>
      <c r="U576" s="170">
        <f t="shared" si="269"/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257"/>
        <v>1.0420213306571622</v>
      </c>
      <c r="Y576" s="171">
        <f t="shared" si="275"/>
        <v>0.30276276861220686</v>
      </c>
      <c r="Z576" s="784">
        <f t="shared" si="259"/>
        <v>-0.12967191110265527</v>
      </c>
    </row>
    <row r="577" spans="1:26" ht="20.100000000000001" customHeight="1" x14ac:dyDescent="0.25">
      <c r="A577" s="160">
        <f t="shared" si="266"/>
        <v>900</v>
      </c>
      <c r="B577" s="169">
        <v>43133</v>
      </c>
      <c r="C577" s="211">
        <v>2762.13</v>
      </c>
      <c r="D577" s="168">
        <f t="shared" si="278"/>
        <v>-2.1208513171602886E-2</v>
      </c>
      <c r="E577" s="205">
        <f t="shared" si="271"/>
        <v>0.31377352029070987</v>
      </c>
      <c r="F577" s="215">
        <v>7240.94</v>
      </c>
      <c r="G577" s="168">
        <f t="shared" si="279"/>
        <v>-1.9621276330718439E-2</v>
      </c>
      <c r="H577" s="199">
        <f t="shared" si="276"/>
        <v>0.422106565587132</v>
      </c>
      <c r="I577" s="217">
        <v>356559.21</v>
      </c>
      <c r="J577" s="170">
        <v>300000</v>
      </c>
      <c r="K577" s="170">
        <f t="shared" si="277"/>
        <v>-7211.3499999999767</v>
      </c>
      <c r="L577" s="168">
        <f t="shared" si="274"/>
        <v>-1.9823896689165767E-2</v>
      </c>
      <c r="M577" s="178">
        <f t="shared" si="272"/>
        <v>56559.210000000021</v>
      </c>
      <c r="N577" s="180">
        <f t="shared" ref="N577:N617" si="280">M577/J577</f>
        <v>0.18853070000000008</v>
      </c>
      <c r="O577" s="179">
        <f t="shared" si="267"/>
        <v>7.651204241666669E-2</v>
      </c>
      <c r="P577" s="178" t="b">
        <f t="shared" si="273"/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si="268"/>
        <v>99785.760000000009</v>
      </c>
      <c r="T577" s="170">
        <v>-31380</v>
      </c>
      <c r="U577" s="170">
        <f t="shared" si="269"/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257"/>
        <v>0.94959356941894857</v>
      </c>
      <c r="Y577" s="171">
        <f t="shared" si="275"/>
        <v>0.26815815305107671</v>
      </c>
      <c r="Z577" s="784">
        <f t="shared" si="259"/>
        <v>-0.12524282029070979</v>
      </c>
    </row>
    <row r="578" spans="1:26" ht="20.100000000000001" customHeight="1" x14ac:dyDescent="0.25">
      <c r="A578" s="160">
        <f t="shared" si="266"/>
        <v>903</v>
      </c>
      <c r="B578" s="169">
        <v>43136</v>
      </c>
      <c r="C578" s="211">
        <v>2648.94</v>
      </c>
      <c r="D578" s="168">
        <f t="shared" si="278"/>
        <v>-4.0979244278871757E-2</v>
      </c>
      <c r="E578" s="205">
        <f t="shared" si="271"/>
        <v>0.25993607427560356</v>
      </c>
      <c r="F578" s="215">
        <v>6967.52</v>
      </c>
      <c r="G578" s="168">
        <f t="shared" si="279"/>
        <v>-3.7760290790974538E-2</v>
      </c>
      <c r="H578" s="199">
        <f t="shared" si="276"/>
        <v>0.36840740813480777</v>
      </c>
      <c r="I578" s="217">
        <v>346151.51</v>
      </c>
      <c r="J578" s="170">
        <v>300000</v>
      </c>
      <c r="K578" s="170">
        <f t="shared" si="277"/>
        <v>-10407.700000000012</v>
      </c>
      <c r="L578" s="168">
        <f t="shared" si="274"/>
        <v>-2.918926144131857E-2</v>
      </c>
      <c r="M578" s="178">
        <f t="shared" si="272"/>
        <v>46151.510000000009</v>
      </c>
      <c r="N578" s="180">
        <f t="shared" si="280"/>
        <v>0.1538383666666667</v>
      </c>
      <c r="O578" s="179">
        <f t="shared" si="267"/>
        <v>6.2225319407530469E-2</v>
      </c>
      <c r="P578" s="178" t="b">
        <f t="shared" si="273"/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si="268"/>
        <v>80176.94</v>
      </c>
      <c r="T578" s="170">
        <v>-31901</v>
      </c>
      <c r="U578" s="170">
        <f t="shared" si="269"/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257"/>
        <v>0.76877064417325591</v>
      </c>
      <c r="Y578" s="171">
        <f t="shared" si="275"/>
        <v>0.21775628578151066</v>
      </c>
      <c r="Z578" s="784">
        <f t="shared" si="259"/>
        <v>-0.10609770760893686</v>
      </c>
    </row>
    <row r="579" spans="1:26" ht="20.100000000000001" customHeight="1" x14ac:dyDescent="0.25">
      <c r="A579" s="160">
        <f t="shared" ref="A579:A610" si="281">B579-$B$2</f>
        <v>904</v>
      </c>
      <c r="B579" s="169">
        <v>43137</v>
      </c>
      <c r="C579" s="211">
        <v>2695.14</v>
      </c>
      <c r="D579" s="168">
        <f t="shared" si="278"/>
        <v>1.7440938639606718E-2</v>
      </c>
      <c r="E579" s="205">
        <f t="shared" si="271"/>
        <v>0.28191054203687133</v>
      </c>
      <c r="F579" s="215">
        <v>7115.88</v>
      </c>
      <c r="G579" s="168">
        <f t="shared" si="279"/>
        <v>2.1293085631616367E-2</v>
      </c>
      <c r="H579" s="199">
        <f t="shared" si="276"/>
        <v>0.39754502425516042</v>
      </c>
      <c r="I579" s="217">
        <v>368455.72</v>
      </c>
      <c r="J579" s="170">
        <v>315000</v>
      </c>
      <c r="K579" s="170">
        <f t="shared" si="277"/>
        <v>7304.2099999999627</v>
      </c>
      <c r="L579" s="168">
        <f t="shared" si="274"/>
        <v>2.1101193520721498E-2</v>
      </c>
      <c r="M579" s="178">
        <f t="shared" si="272"/>
        <v>53455.719999999972</v>
      </c>
      <c r="N579" s="180">
        <f t="shared" si="280"/>
        <v>0.16970069841269833</v>
      </c>
      <c r="O579" s="179">
        <f t="shared" ref="O579:O610" si="282">N579/(A579/365.25)</f>
        <v>6.8565464707121757E-2</v>
      </c>
      <c r="P579" s="178" t="b">
        <f t="shared" si="273"/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si="268"/>
        <v>71456.31</v>
      </c>
      <c r="T579" s="170">
        <v>-31165</v>
      </c>
      <c r="U579" s="170">
        <f t="shared" si="269"/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257"/>
        <v>0.8307585157991072</v>
      </c>
      <c r="Y579" s="171">
        <f t="shared" si="275"/>
        <v>0.23988103052421256</v>
      </c>
      <c r="Z579" s="784">
        <f t="shared" si="259"/>
        <v>-0.11220984362417299</v>
      </c>
    </row>
    <row r="580" spans="1:26" ht="20.100000000000001" customHeight="1" x14ac:dyDescent="0.25">
      <c r="A580" s="160">
        <f t="shared" si="281"/>
        <v>905</v>
      </c>
      <c r="B580" s="169">
        <v>43138</v>
      </c>
      <c r="C580" s="211">
        <v>2681.66</v>
      </c>
      <c r="D580" s="168">
        <f t="shared" si="278"/>
        <v>-5.0015954644285713E-3</v>
      </c>
      <c r="E580" s="205">
        <f t="shared" si="271"/>
        <v>0.27549894408401654</v>
      </c>
      <c r="F580" s="215">
        <v>7051.98</v>
      </c>
      <c r="G580" s="168">
        <f t="shared" si="279"/>
        <v>-8.979915344272324E-3</v>
      </c>
      <c r="H580" s="199">
        <f t="shared" si="276"/>
        <v>0.38499518824754009</v>
      </c>
      <c r="I580" s="217">
        <v>449047.22</v>
      </c>
      <c r="J580" s="170">
        <v>400000</v>
      </c>
      <c r="K580" s="170">
        <f t="shared" si="277"/>
        <v>-4408.5</v>
      </c>
      <c r="L580" s="168">
        <f t="shared" si="274"/>
        <v>-1.196480271767799E-2</v>
      </c>
      <c r="M580" s="178">
        <f t="shared" si="272"/>
        <v>49047.219999999972</v>
      </c>
      <c r="N580" s="180">
        <f t="shared" si="280"/>
        <v>0.12261804999999994</v>
      </c>
      <c r="O580" s="179">
        <f t="shared" si="282"/>
        <v>4.9487561063535884E-2</v>
      </c>
      <c r="P580" s="178" t="b">
        <f t="shared" si="273"/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si="268"/>
        <v>156456.31</v>
      </c>
      <c r="T580" s="170">
        <v>-30966</v>
      </c>
      <c r="U580" s="170">
        <f t="shared" si="269"/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257"/>
        <v>0.81138893002854873</v>
      </c>
      <c r="Y580" s="171">
        <f t="shared" si="275"/>
        <v>0.17321287746308356</v>
      </c>
      <c r="Z580" s="784">
        <f t="shared" si="259"/>
        <v>-0.15288089408401662</v>
      </c>
    </row>
    <row r="581" spans="1:26" ht="20.100000000000001" customHeight="1" x14ac:dyDescent="0.25">
      <c r="A581" s="160">
        <f t="shared" si="281"/>
        <v>906</v>
      </c>
      <c r="B581" s="169">
        <v>43139</v>
      </c>
      <c r="C581" s="211">
        <v>2581</v>
      </c>
      <c r="D581" s="168">
        <f t="shared" si="278"/>
        <v>-3.753645130255135E-2</v>
      </c>
      <c r="E581" s="205">
        <f t="shared" si="271"/>
        <v>0.2276212400829512</v>
      </c>
      <c r="F581" s="215">
        <v>6777.15</v>
      </c>
      <c r="G581" s="168">
        <f t="shared" si="279"/>
        <v>-3.8972033386368073E-2</v>
      </c>
      <c r="H581" s="199">
        <f t="shared" si="276"/>
        <v>0.33101910953119779</v>
      </c>
      <c r="I581" s="217">
        <v>437852.33</v>
      </c>
      <c r="J581" s="170">
        <v>400000</v>
      </c>
      <c r="K581" s="170">
        <f t="shared" si="277"/>
        <v>-11194.889999999956</v>
      </c>
      <c r="L581" s="168">
        <f t="shared" si="274"/>
        <v>-2.4930318018670634E-2</v>
      </c>
      <c r="M581" s="178">
        <f t="shared" si="272"/>
        <v>37852.330000000016</v>
      </c>
      <c r="N581" s="180">
        <f t="shared" si="280"/>
        <v>9.4630825000000043E-2</v>
      </c>
      <c r="O581" s="179">
        <f t="shared" si="282"/>
        <v>3.8150009747516575E-2</v>
      </c>
      <c r="P581" s="178" t="b">
        <f t="shared" si="273"/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si="268"/>
        <v>140541.12</v>
      </c>
      <c r="T581" s="170">
        <v>-31340</v>
      </c>
      <c r="U581" s="170">
        <f t="shared" si="269"/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257"/>
        <v>0.65926446357098534</v>
      </c>
      <c r="Y581" s="171">
        <f t="shared" si="275"/>
        <v>0.13341410269255552</v>
      </c>
      <c r="Z581" s="784">
        <f t="shared" si="259"/>
        <v>-0.13299041508295117</v>
      </c>
    </row>
    <row r="582" spans="1:26" ht="20.100000000000001" customHeight="1" x14ac:dyDescent="0.25">
      <c r="A582" s="160">
        <f t="shared" si="281"/>
        <v>907</v>
      </c>
      <c r="B582" s="169">
        <v>43140</v>
      </c>
      <c r="C582" s="211">
        <v>2619.5500000000002</v>
      </c>
      <c r="D582" s="168">
        <f t="shared" si="278"/>
        <v>1.4936071290197668E-2</v>
      </c>
      <c r="E582" s="205">
        <f t="shared" si="271"/>
        <v>0.24595707844219103</v>
      </c>
      <c r="F582" s="215">
        <v>6874.49</v>
      </c>
      <c r="G582" s="168">
        <f t="shared" si="279"/>
        <v>1.4362969684897066E-2</v>
      </c>
      <c r="H582" s="199">
        <f t="shared" si="276"/>
        <v>0.35013649665141311</v>
      </c>
      <c r="I582" s="217">
        <v>439997.44</v>
      </c>
      <c r="J582" s="170">
        <v>400000</v>
      </c>
      <c r="K582" s="170">
        <f t="shared" si="277"/>
        <v>2145.109999999986</v>
      </c>
      <c r="L582" s="168">
        <f t="shared" si="274"/>
        <v>4.8991631493658736E-3</v>
      </c>
      <c r="M582" s="178">
        <f t="shared" si="272"/>
        <v>39997.440000000002</v>
      </c>
      <c r="N582" s="180">
        <f t="shared" si="280"/>
        <v>9.9993600000000002E-2</v>
      </c>
      <c r="O582" s="179">
        <f t="shared" si="282"/>
        <v>4.0267543991179718E-2</v>
      </c>
      <c r="P582" s="178" t="b">
        <f t="shared" si="273"/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si="268"/>
        <v>140253.03999999998</v>
      </c>
      <c r="T582" s="170">
        <v>-31484</v>
      </c>
      <c r="U582" s="170">
        <f t="shared" si="269"/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257"/>
        <v>0.71051484790035679</v>
      </c>
      <c r="Y582" s="171">
        <f t="shared" si="275"/>
        <v>0.14093391413707773</v>
      </c>
      <c r="Z582" s="784">
        <f t="shared" si="259"/>
        <v>-0.14596347844219104</v>
      </c>
    </row>
    <row r="583" spans="1:26" ht="20.100000000000001" customHeight="1" x14ac:dyDescent="0.25">
      <c r="A583" s="160">
        <f t="shared" si="281"/>
        <v>910</v>
      </c>
      <c r="B583" s="169">
        <v>43143</v>
      </c>
      <c r="C583" s="211">
        <v>2656</v>
      </c>
      <c r="D583" s="168">
        <f t="shared" si="278"/>
        <v>1.3914603653299161E-2</v>
      </c>
      <c r="E583" s="205">
        <f t="shared" si="271"/>
        <v>0.26329407735773669</v>
      </c>
      <c r="F583" s="215">
        <v>6981.96</v>
      </c>
      <c r="G583" s="168">
        <f t="shared" si="279"/>
        <v>1.5633159696210229E-2</v>
      </c>
      <c r="H583" s="199">
        <f t="shared" si="276"/>
        <v>0.37124339611524643</v>
      </c>
      <c r="I583" s="217">
        <v>444241.95</v>
      </c>
      <c r="J583" s="170">
        <v>400000</v>
      </c>
      <c r="K583" s="170">
        <f t="shared" si="277"/>
        <v>4244.5100000000093</v>
      </c>
      <c r="L583" s="168">
        <f t="shared" si="274"/>
        <v>9.6466697624422761E-3</v>
      </c>
      <c r="M583" s="178">
        <f t="shared" si="272"/>
        <v>44241.950000000012</v>
      </c>
      <c r="N583" s="180">
        <f t="shared" si="280"/>
        <v>0.11060487500000003</v>
      </c>
      <c r="O583" s="179">
        <f t="shared" si="282"/>
        <v>4.4393879773351658E-2</v>
      </c>
      <c r="P583" s="178" t="b">
        <f t="shared" si="273"/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si="268"/>
        <v>139501.69</v>
      </c>
      <c r="T583" s="170">
        <v>-31937</v>
      </c>
      <c r="U583" s="170">
        <f t="shared" si="269"/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257"/>
        <v>0.75720401910154334</v>
      </c>
      <c r="Y583" s="171">
        <f t="shared" si="275"/>
        <v>0.15547561511065239</v>
      </c>
      <c r="Z583" s="784">
        <f t="shared" si="259"/>
        <v>-0.15268920235773664</v>
      </c>
    </row>
    <row r="584" spans="1:26" ht="20.100000000000001" customHeight="1" x14ac:dyDescent="0.25">
      <c r="A584" s="160">
        <f t="shared" si="281"/>
        <v>911</v>
      </c>
      <c r="B584" s="169">
        <v>43144</v>
      </c>
      <c r="C584" s="211">
        <v>2662.94</v>
      </c>
      <c r="D584" s="168">
        <f t="shared" si="278"/>
        <v>2.6129518072289361E-3</v>
      </c>
      <c r="E584" s="205">
        <f t="shared" si="271"/>
        <v>0.26659500390023022</v>
      </c>
      <c r="F584" s="215">
        <v>7013.51</v>
      </c>
      <c r="G584" s="168">
        <f t="shared" si="279"/>
        <v>4.518788420443569E-3</v>
      </c>
      <c r="H584" s="199">
        <f t="shared" si="276"/>
        <v>0.37743975489522175</v>
      </c>
      <c r="I584" s="217">
        <v>443416.54</v>
      </c>
      <c r="J584" s="170">
        <v>400000</v>
      </c>
      <c r="K584" s="170">
        <f t="shared" si="277"/>
        <v>-825.4100000000326</v>
      </c>
      <c r="L584" s="168">
        <f t="shared" si="274"/>
        <v>-1.858019036698431E-3</v>
      </c>
      <c r="M584" s="178">
        <f t="shared" si="272"/>
        <v>43416.539999999979</v>
      </c>
      <c r="N584" s="180">
        <f t="shared" si="280"/>
        <v>0.10854134999999995</v>
      </c>
      <c r="O584" s="179">
        <f t="shared" si="282"/>
        <v>4.3517813487925334E-2</v>
      </c>
      <c r="P584" s="178" t="b">
        <f t="shared" si="273"/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si="268"/>
        <v>139501.69</v>
      </c>
      <c r="T584" s="170">
        <v>-31767</v>
      </c>
      <c r="U584" s="170">
        <f t="shared" si="269"/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257"/>
        <v>0.76647518943588588</v>
      </c>
      <c r="Y584" s="171">
        <f t="shared" si="275"/>
        <v>0.15253644111929254</v>
      </c>
      <c r="Z584" s="784">
        <f t="shared" ref="Z584:Z617" si="283">-(E584-N584)</f>
        <v>-0.15805365390023027</v>
      </c>
    </row>
    <row r="585" spans="1:26" ht="20.100000000000001" customHeight="1" x14ac:dyDescent="0.25">
      <c r="A585" s="160">
        <f t="shared" si="281"/>
        <v>912</v>
      </c>
      <c r="B585" s="169">
        <v>43145</v>
      </c>
      <c r="C585" s="211">
        <v>2698.63</v>
      </c>
      <c r="D585" s="168">
        <f t="shared" si="278"/>
        <v>1.3402479965752159E-2</v>
      </c>
      <c r="E585" s="205">
        <f t="shared" si="271"/>
        <v>0.28357051806472483</v>
      </c>
      <c r="F585" s="215">
        <v>7143.61</v>
      </c>
      <c r="G585" s="168">
        <f t="shared" si="279"/>
        <v>1.854991295371354E-2</v>
      </c>
      <c r="H585" s="199">
        <f t="shared" si="276"/>
        <v>0.40299114244751261</v>
      </c>
      <c r="I585" s="217">
        <v>451561.53</v>
      </c>
      <c r="J585" s="170">
        <v>400000</v>
      </c>
      <c r="K585" s="170">
        <f t="shared" si="277"/>
        <v>8144.9900000000489</v>
      </c>
      <c r="L585" s="168">
        <f t="shared" si="274"/>
        <v>1.8368710377831304E-2</v>
      </c>
      <c r="M585" s="178">
        <f t="shared" si="272"/>
        <v>51561.530000000028</v>
      </c>
      <c r="N585" s="180">
        <f t="shared" si="280"/>
        <v>0.12890382500000008</v>
      </c>
      <c r="O585" s="179">
        <f t="shared" si="282"/>
        <v>5.1625133861019766E-2</v>
      </c>
      <c r="P585" s="178" t="b">
        <f t="shared" si="273"/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si="268"/>
        <v>142097.62000000005</v>
      </c>
      <c r="T585" s="170">
        <v>-31599</v>
      </c>
      <c r="U585" s="170">
        <f t="shared" si="269"/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257"/>
        <v>0.8135680008967473</v>
      </c>
      <c r="Y585" s="171">
        <f t="shared" si="275"/>
        <v>0.18095667178025537</v>
      </c>
      <c r="Z585" s="784">
        <f t="shared" si="283"/>
        <v>-0.15466669306472475</v>
      </c>
    </row>
    <row r="586" spans="1:26" ht="20.100000000000001" customHeight="1" x14ac:dyDescent="0.25">
      <c r="A586" s="160">
        <f t="shared" si="281"/>
        <v>913</v>
      </c>
      <c r="B586" s="169">
        <v>43146</v>
      </c>
      <c r="C586" s="211">
        <v>2731.2</v>
      </c>
      <c r="D586" s="168">
        <f t="shared" si="278"/>
        <v>1.206908690706014E-2</v>
      </c>
      <c r="E586" s="205">
        <f t="shared" si="271"/>
        <v>0.29906204219858817</v>
      </c>
      <c r="F586" s="215">
        <v>7256.43</v>
      </c>
      <c r="G586" s="168">
        <f t="shared" si="279"/>
        <v>1.5793135403528554E-2</v>
      </c>
      <c r="H586" s="199">
        <f t="shared" si="276"/>
        <v>0.42514877153013741</v>
      </c>
      <c r="I586" s="217">
        <v>450705.94</v>
      </c>
      <c r="J586" s="170">
        <v>400000</v>
      </c>
      <c r="K586" s="170">
        <f t="shared" si="277"/>
        <v>-855.59000000002561</v>
      </c>
      <c r="L586" s="168">
        <f t="shared" si="274"/>
        <v>-1.8947362500078904E-3</v>
      </c>
      <c r="M586" s="178">
        <f t="shared" si="272"/>
        <v>50705.94</v>
      </c>
      <c r="N586" s="180">
        <f t="shared" si="280"/>
        <v>0.12676485000000001</v>
      </c>
      <c r="O586" s="179">
        <f t="shared" si="282"/>
        <v>5.071288221522454E-2</v>
      </c>
      <c r="P586" s="178" t="b">
        <f t="shared" si="273"/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si="268"/>
        <v>142537.26</v>
      </c>
      <c r="T586" s="170">
        <v>-31476</v>
      </c>
      <c r="U586" s="170">
        <f t="shared" si="269"/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257"/>
        <v>0.85653179754406417</v>
      </c>
      <c r="Y586" s="171">
        <f t="shared" si="275"/>
        <v>0.17790880212019669</v>
      </c>
      <c r="Z586" s="784">
        <f t="shared" si="283"/>
        <v>-0.17229719219858816</v>
      </c>
    </row>
    <row r="587" spans="1:26" ht="20.100000000000001" customHeight="1" x14ac:dyDescent="0.25">
      <c r="A587" s="160">
        <f t="shared" si="281"/>
        <v>914</v>
      </c>
      <c r="B587" s="169">
        <v>43147</v>
      </c>
      <c r="C587" s="211">
        <v>2732.22</v>
      </c>
      <c r="D587" s="168">
        <f t="shared" si="278"/>
        <v>3.7346221441124117E-4</v>
      </c>
      <c r="E587" s="205">
        <f t="shared" si="271"/>
        <v>0.29954719278552527</v>
      </c>
      <c r="F587" s="215">
        <v>7239.46</v>
      </c>
      <c r="G587" s="168">
        <f t="shared" si="279"/>
        <v>-2.3386155451096827E-3</v>
      </c>
      <c r="H587" s="199">
        <f t="shared" si="276"/>
        <v>0.42181589645894302</v>
      </c>
      <c r="I587" s="217">
        <v>447551.93</v>
      </c>
      <c r="J587" s="170">
        <v>400000</v>
      </c>
      <c r="K587" s="170">
        <f t="shared" si="277"/>
        <v>-3154.0100000000093</v>
      </c>
      <c r="L587" s="168">
        <f t="shared" si="274"/>
        <v>-6.9979330647384173E-3</v>
      </c>
      <c r="M587" s="178">
        <f t="shared" si="272"/>
        <v>47551.929999999993</v>
      </c>
      <c r="N587" s="180">
        <f t="shared" si="280"/>
        <v>0.11887982499999998</v>
      </c>
      <c r="O587" s="179">
        <f t="shared" si="282"/>
        <v>4.7506407091083142E-2</v>
      </c>
      <c r="P587" s="178" t="b">
        <f t="shared" si="273"/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si="268"/>
        <v>134685.06</v>
      </c>
      <c r="T587" s="170">
        <v>-31310</v>
      </c>
      <c r="U587" s="170">
        <f t="shared" si="269"/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257"/>
        <v>0.85771719333403895</v>
      </c>
      <c r="Y587" s="171">
        <f t="shared" si="275"/>
        <v>0.16677746418174394</v>
      </c>
      <c r="Z587" s="784">
        <f t="shared" si="283"/>
        <v>-0.18066736778552528</v>
      </c>
    </row>
    <row r="588" spans="1:26" ht="20.100000000000001" customHeight="1" x14ac:dyDescent="0.25">
      <c r="A588" s="160">
        <f t="shared" si="281"/>
        <v>918</v>
      </c>
      <c r="B588" s="169">
        <v>43151</v>
      </c>
      <c r="C588" s="211">
        <v>2716.26</v>
      </c>
      <c r="D588" s="168">
        <f t="shared" si="278"/>
        <v>-5.8414036936994766E-3</v>
      </c>
      <c r="E588" s="205">
        <f t="shared" si="271"/>
        <v>0.29195601301345109</v>
      </c>
      <c r="F588" s="215">
        <v>7234.3</v>
      </c>
      <c r="G588" s="168">
        <f t="shared" si="279"/>
        <v>-7.1276034400353822E-4</v>
      </c>
      <c r="H588" s="199">
        <f t="shared" si="276"/>
        <v>0.42080248247147328</v>
      </c>
      <c r="I588" s="217">
        <v>445228.37</v>
      </c>
      <c r="J588" s="170">
        <v>400000</v>
      </c>
      <c r="K588" s="170">
        <f t="shared" si="277"/>
        <v>-2323.5599999999977</v>
      </c>
      <c r="L588" s="168">
        <f t="shared" si="274"/>
        <v>-5.191710378726325E-3</v>
      </c>
      <c r="M588" s="178">
        <f t="shared" si="272"/>
        <v>45228.369999999995</v>
      </c>
      <c r="N588" s="180">
        <f t="shared" si="280"/>
        <v>0.11307092499999999</v>
      </c>
      <c r="O588" s="179">
        <f t="shared" si="282"/>
        <v>4.4988186662581697E-2</v>
      </c>
      <c r="P588" s="178" t="b">
        <f t="shared" si="273"/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257"/>
        <v>0.83268182638552635</v>
      </c>
      <c r="Y588" s="171">
        <f t="shared" si="275"/>
        <v>0.15805819884557604</v>
      </c>
      <c r="Z588" s="784">
        <f t="shared" si="283"/>
        <v>-0.1788850880134511</v>
      </c>
    </row>
    <row r="589" spans="1:26" ht="20.100000000000001" customHeight="1" x14ac:dyDescent="0.25">
      <c r="A589" s="160">
        <f t="shared" si="281"/>
        <v>919</v>
      </c>
      <c r="B589" s="169">
        <v>43152</v>
      </c>
      <c r="C589" s="211">
        <v>2701.33</v>
      </c>
      <c r="D589" s="168">
        <f t="shared" si="278"/>
        <v>-5.496528314668069E-3</v>
      </c>
      <c r="E589" s="205">
        <f t="shared" si="271"/>
        <v>0.284854740206617</v>
      </c>
      <c r="F589" s="215">
        <v>7218.22</v>
      </c>
      <c r="G589" s="168">
        <f t="shared" si="279"/>
        <v>-2.2227444258601284E-3</v>
      </c>
      <c r="H589" s="199">
        <f t="shared" si="276"/>
        <v>0.41764440167331157</v>
      </c>
      <c r="I589" s="217">
        <v>442526.81</v>
      </c>
      <c r="J589" s="170">
        <v>400000</v>
      </c>
      <c r="K589" s="170">
        <f t="shared" si="277"/>
        <v>-2701.5599999999977</v>
      </c>
      <c r="L589" s="168">
        <f t="shared" si="274"/>
        <v>-6.0678074040969084E-3</v>
      </c>
      <c r="M589" s="178">
        <f t="shared" si="272"/>
        <v>42526.81</v>
      </c>
      <c r="N589" s="180">
        <f t="shared" si="280"/>
        <v>0.106317025</v>
      </c>
      <c r="O589" s="179">
        <f t="shared" si="282"/>
        <v>4.2254943831610443E-2</v>
      </c>
      <c r="P589" s="178" t="b">
        <f t="shared" si="273"/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:S606" si="284">I589-R589</f>
        <v>115344.20000000001</v>
      </c>
      <c r="T589" s="170">
        <v>-31702</v>
      </c>
      <c r="U589" s="170">
        <f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257"/>
        <v>0.81191782747081387</v>
      </c>
      <c r="Y589" s="171">
        <f t="shared" si="275"/>
        <v>0.14856498042386479</v>
      </c>
      <c r="Z589" s="784">
        <f t="shared" si="283"/>
        <v>-0.17853771520661699</v>
      </c>
    </row>
    <row r="590" spans="1:26" ht="20.100000000000001" customHeight="1" x14ac:dyDescent="0.25">
      <c r="A590" s="160">
        <f t="shared" si="281"/>
        <v>920</v>
      </c>
      <c r="B590" s="169">
        <v>43153</v>
      </c>
      <c r="C590" s="211">
        <v>2703.96</v>
      </c>
      <c r="D590" s="168">
        <f t="shared" si="278"/>
        <v>9.735944886408211E-4</v>
      </c>
      <c r="E590" s="205">
        <f t="shared" si="271"/>
        <v>0.2861056677003862</v>
      </c>
      <c r="F590" s="215">
        <v>7210.08</v>
      </c>
      <c r="G590" s="168">
        <f t="shared" si="279"/>
        <v>-1.1277018433907982E-3</v>
      </c>
      <c r="H590" s="199">
        <f t="shared" si="276"/>
        <v>0.41604572146827196</v>
      </c>
      <c r="I590" s="217">
        <v>441168.86</v>
      </c>
      <c r="J590" s="170">
        <v>400000</v>
      </c>
      <c r="K590" s="170">
        <f t="shared" si="277"/>
        <v>-1357.9500000000116</v>
      </c>
      <c r="L590" s="168">
        <f t="shared" ref="L590:L621" si="285">K590/I589</f>
        <v>-3.0686276386282939E-3</v>
      </c>
      <c r="M590" s="178">
        <f t="shared" si="272"/>
        <v>41168.859999999986</v>
      </c>
      <c r="N590" s="180">
        <f t="shared" si="280"/>
        <v>0.10292214999999996</v>
      </c>
      <c r="O590" s="179">
        <f t="shared" si="282"/>
        <v>4.0861212269021729E-2</v>
      </c>
      <c r="P590" s="178" t="b">
        <f t="shared" si="273"/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si="284"/>
        <v>115344.20999999996</v>
      </c>
      <c r="T590" s="170">
        <v>-31901</v>
      </c>
      <c r="U590" s="170">
        <f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257"/>
        <v>0.81528936483996495</v>
      </c>
      <c r="Y590" s="171">
        <f t="shared" si="275"/>
        <v>0.14378229295437445</v>
      </c>
      <c r="Z590" s="784">
        <f t="shared" si="283"/>
        <v>-0.18318351770038624</v>
      </c>
    </row>
    <row r="591" spans="1:26" ht="20.100000000000001" customHeight="1" x14ac:dyDescent="0.25">
      <c r="A591" s="160">
        <f t="shared" si="281"/>
        <v>921</v>
      </c>
      <c r="B591" s="169">
        <v>43154</v>
      </c>
      <c r="C591" s="211">
        <v>2747.3</v>
      </c>
      <c r="D591" s="168">
        <f t="shared" si="278"/>
        <v>1.6028343614550564E-2</v>
      </c>
      <c r="E591" s="205">
        <f t="shared" si="271"/>
        <v>0.306719811266909</v>
      </c>
      <c r="F591" s="215">
        <v>7337.39</v>
      </c>
      <c r="G591" s="168">
        <f t="shared" si="279"/>
        <v>1.7657224330381964E-2</v>
      </c>
      <c r="H591" s="199">
        <f t="shared" si="276"/>
        <v>0.4410491584343148</v>
      </c>
      <c r="I591" s="217">
        <v>446261.7</v>
      </c>
      <c r="J591" s="170">
        <v>400000</v>
      </c>
      <c r="K591" s="170">
        <f t="shared" si="277"/>
        <v>5092.8400000000256</v>
      </c>
      <c r="L591" s="168">
        <f t="shared" si="285"/>
        <v>1.154396980784189E-2</v>
      </c>
      <c r="M591" s="178">
        <f t="shared" si="272"/>
        <v>46261.700000000012</v>
      </c>
      <c r="N591" s="180">
        <f t="shared" si="280"/>
        <v>0.11565425000000003</v>
      </c>
      <c r="O591" s="179">
        <f t="shared" si="282"/>
        <v>4.5866139861563529E-2</v>
      </c>
      <c r="P591" s="178" t="b">
        <f t="shared" si="273"/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si="284"/>
        <v>117928.15000000002</v>
      </c>
      <c r="T591" s="170">
        <v>-31711</v>
      </c>
      <c r="U591" s="170">
        <f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257"/>
        <v>0.87149911342020359</v>
      </c>
      <c r="Y591" s="171">
        <f t="shared" si="275"/>
        <v>0.16147910023595438</v>
      </c>
      <c r="Z591" s="784">
        <f t="shared" si="283"/>
        <v>-0.19106556126690899</v>
      </c>
    </row>
    <row r="592" spans="1:26" ht="20.100000000000001" customHeight="1" x14ac:dyDescent="0.25">
      <c r="A592" s="160">
        <f t="shared" si="281"/>
        <v>924</v>
      </c>
      <c r="B592" s="169">
        <v>43157</v>
      </c>
      <c r="C592" s="211">
        <v>2779.6</v>
      </c>
      <c r="D592" s="168">
        <f t="shared" si="278"/>
        <v>1.175699777963809E-2</v>
      </c>
      <c r="E592" s="205">
        <f t="shared" si="271"/>
        <v>0.32208291318658311</v>
      </c>
      <c r="F592" s="215">
        <v>7421.46</v>
      </c>
      <c r="G592" s="168">
        <f t="shared" si="279"/>
        <v>1.1457752688626296E-2</v>
      </c>
      <c r="H592" s="199">
        <f t="shared" si="276"/>
        <v>0.45756034330380824</v>
      </c>
      <c r="I592" s="217">
        <v>445461.4</v>
      </c>
      <c r="J592" s="170">
        <v>400000</v>
      </c>
      <c r="K592" s="170">
        <f t="shared" si="277"/>
        <v>-800.29999999998836</v>
      </c>
      <c r="L592" s="168">
        <f t="shared" si="285"/>
        <v>-1.7933423370188129E-3</v>
      </c>
      <c r="M592" s="178">
        <f t="shared" si="272"/>
        <v>45461.400000000023</v>
      </c>
      <c r="N592" s="180">
        <f t="shared" si="280"/>
        <v>0.11365350000000006</v>
      </c>
      <c r="O592" s="179">
        <f t="shared" si="282"/>
        <v>4.4926342938311707E-2</v>
      </c>
      <c r="P592" s="178" t="b">
        <f t="shared" si="273"/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si="284"/>
        <v>114934.44</v>
      </c>
      <c r="T592" s="170">
        <v>-31425</v>
      </c>
      <c r="U592" s="170">
        <f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257"/>
        <v>0.91168581284014205</v>
      </c>
      <c r="Y592" s="171">
        <f t="shared" si="275"/>
        <v>0.15830252602292741</v>
      </c>
      <c r="Z592" s="784">
        <f t="shared" si="283"/>
        <v>-0.20842941318658303</v>
      </c>
    </row>
    <row r="593" spans="1:26" ht="20.100000000000001" customHeight="1" x14ac:dyDescent="0.25">
      <c r="A593" s="160">
        <f t="shared" si="281"/>
        <v>925</v>
      </c>
      <c r="B593" s="169">
        <v>43158</v>
      </c>
      <c r="C593" s="211">
        <v>2744.28</v>
      </c>
      <c r="D593" s="168">
        <f t="shared" si="278"/>
        <v>-1.270686429702105E-2</v>
      </c>
      <c r="E593" s="205">
        <f t="shared" si="271"/>
        <v>0.30528338501931096</v>
      </c>
      <c r="F593" s="215">
        <v>7330.35</v>
      </c>
      <c r="G593" s="168">
        <f t="shared" si="279"/>
        <v>-1.2276560137762606E-2</v>
      </c>
      <c r="H593" s="199">
        <f t="shared" si="276"/>
        <v>0.4396665160948211</v>
      </c>
      <c r="I593" s="217">
        <v>439475.96</v>
      </c>
      <c r="J593" s="170">
        <v>400000</v>
      </c>
      <c r="K593" s="170">
        <f t="shared" si="277"/>
        <v>-5985.4400000000023</v>
      </c>
      <c r="L593" s="168">
        <f t="shared" si="285"/>
        <v>-1.3436495283317482E-2</v>
      </c>
      <c r="M593" s="178">
        <f t="shared" si="272"/>
        <v>39475.960000000021</v>
      </c>
      <c r="N593" s="180">
        <f t="shared" si="280"/>
        <v>9.8689900000000053E-2</v>
      </c>
      <c r="O593" s="179">
        <f t="shared" si="282"/>
        <v>3.8969174027027043E-2</v>
      </c>
      <c r="P593" s="178" t="b">
        <f t="shared" si="273"/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si="284"/>
        <v>114934.45000000001</v>
      </c>
      <c r="T593" s="170">
        <v>-31811</v>
      </c>
      <c r="U593" s="170">
        <f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257"/>
        <v>0.86228304434011871</v>
      </c>
      <c r="Y593" s="171">
        <f t="shared" si="275"/>
        <v>0.13735713805139502</v>
      </c>
      <c r="Z593" s="784">
        <f t="shared" si="283"/>
        <v>-0.20659348501931091</v>
      </c>
    </row>
    <row r="594" spans="1:26" ht="20.100000000000001" customHeight="1" x14ac:dyDescent="0.25">
      <c r="A594" s="160">
        <f t="shared" si="281"/>
        <v>926</v>
      </c>
      <c r="B594" s="169">
        <v>43159</v>
      </c>
      <c r="C594" s="211">
        <v>2713.83</v>
      </c>
      <c r="D594" s="168">
        <f t="shared" si="278"/>
        <v>-1.1095806550352104E-2</v>
      </c>
      <c r="E594" s="205">
        <f t="shared" si="271"/>
        <v>0.29080021308574794</v>
      </c>
      <c r="F594" s="215">
        <v>7273</v>
      </c>
      <c r="G594" s="168">
        <f t="shared" si="279"/>
        <v>-7.8236373433738307E-3</v>
      </c>
      <c r="H594" s="199">
        <f t="shared" si="276"/>
        <v>0.42840308737749677</v>
      </c>
      <c r="I594" s="406">
        <v>434359.8</v>
      </c>
      <c r="J594" s="170">
        <v>400000</v>
      </c>
      <c r="K594" s="170">
        <f t="shared" si="277"/>
        <v>-5116.1600000000326</v>
      </c>
      <c r="L594" s="168">
        <f t="shared" si="285"/>
        <v>-1.1641501391794064E-2</v>
      </c>
      <c r="M594" s="406">
        <f t="shared" si="272"/>
        <v>34359.799999999988</v>
      </c>
      <c r="N594" s="180">
        <f t="shared" si="280"/>
        <v>8.5899499999999976E-2</v>
      </c>
      <c r="O594" s="179">
        <f t="shared" si="282"/>
        <v>3.3882065199784005E-2</v>
      </c>
      <c r="P594" s="178" t="b">
        <f t="shared" si="273"/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si="284"/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257"/>
        <v>0.81998311366562426</v>
      </c>
      <c r="Y594" s="171">
        <f t="shared" si="275"/>
        <v>0.11948061021999884</v>
      </c>
      <c r="Z594" s="784">
        <f t="shared" si="283"/>
        <v>-0.20490071308574798</v>
      </c>
    </row>
    <row r="595" spans="1:26" ht="20.100000000000001" customHeight="1" x14ac:dyDescent="0.25">
      <c r="A595" s="160">
        <f t="shared" si="281"/>
        <v>927</v>
      </c>
      <c r="B595" s="169">
        <v>43160</v>
      </c>
      <c r="C595" s="211">
        <v>2677.67</v>
      </c>
      <c r="D595" s="168">
        <f t="shared" si="278"/>
        <v>-1.3324342350110308E-2</v>
      </c>
      <c r="E595" s="205">
        <f t="shared" si="271"/>
        <v>0.27360114914099809</v>
      </c>
      <c r="F595" s="215">
        <v>7180.56</v>
      </c>
      <c r="G595" s="168">
        <f t="shared" si="279"/>
        <v>-1.2710023374123415E-2</v>
      </c>
      <c r="H595" s="199">
        <f t="shared" si="276"/>
        <v>0.41024805074925874</v>
      </c>
      <c r="I595" s="217">
        <v>432219.29</v>
      </c>
      <c r="J595" s="170">
        <v>400000</v>
      </c>
      <c r="K595" s="170">
        <f t="shared" si="277"/>
        <v>-2140.5100000000093</v>
      </c>
      <c r="L595" s="168">
        <f t="shared" si="285"/>
        <v>-4.9279652490861478E-3</v>
      </c>
      <c r="M595" s="178">
        <f t="shared" si="272"/>
        <v>32219.289999999979</v>
      </c>
      <c r="N595" s="180">
        <f t="shared" si="280"/>
        <v>8.0548224999999946E-2</v>
      </c>
      <c r="O595" s="179">
        <f t="shared" si="282"/>
        <v>3.1737043345469236E-2</v>
      </c>
      <c r="P595" s="178" t="b">
        <f t="shared" si="273"/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si="284"/>
        <v>101602.63999999996</v>
      </c>
      <c r="T595" s="170">
        <v>-32527</v>
      </c>
      <c r="U595" s="170">
        <f t="shared" ref="U595:U604" si="286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257"/>
        <v>0.76971411027259673</v>
      </c>
      <c r="Y595" s="171">
        <f t="shared" si="275"/>
        <v>0.1120023715278791</v>
      </c>
      <c r="Z595" s="784">
        <f t="shared" si="283"/>
        <v>-0.19305292414099814</v>
      </c>
    </row>
    <row r="596" spans="1:26" ht="20.100000000000001" customHeight="1" x14ac:dyDescent="0.25">
      <c r="A596" s="160">
        <f t="shared" si="281"/>
        <v>928</v>
      </c>
      <c r="B596" s="169">
        <v>43161</v>
      </c>
      <c r="C596" s="211">
        <v>2691.25</v>
      </c>
      <c r="D596" s="168">
        <f t="shared" si="278"/>
        <v>5.0715734201749758E-3</v>
      </c>
      <c r="E596" s="205">
        <f t="shared" si="271"/>
        <v>0.28006031087688588</v>
      </c>
      <c r="F596" s="215">
        <v>7257.86</v>
      </c>
      <c r="G596" s="168">
        <f t="shared" si="279"/>
        <v>1.076517708925199E-2</v>
      </c>
      <c r="H596" s="199">
        <f t="shared" si="276"/>
        <v>0.4254296207553469</v>
      </c>
      <c r="I596" s="217">
        <v>435569.11</v>
      </c>
      <c r="J596" s="170">
        <v>400000</v>
      </c>
      <c r="K596" s="170">
        <f t="shared" si="277"/>
        <v>3349.820000000007</v>
      </c>
      <c r="L596" s="168">
        <f t="shared" si="285"/>
        <v>7.7502787994492501E-3</v>
      </c>
      <c r="M596" s="178">
        <f t="shared" si="272"/>
        <v>35569.109999999986</v>
      </c>
      <c r="N596" s="180">
        <f t="shared" si="280"/>
        <v>8.8922774999999968E-2</v>
      </c>
      <c r="O596" s="179">
        <f t="shared" si="282"/>
        <v>3.4998969362877143E-2</v>
      </c>
      <c r="P596" s="178" t="b">
        <f t="shared" si="273"/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si="284"/>
        <v>95090.459999999963</v>
      </c>
      <c r="T596" s="170">
        <v>-31997</v>
      </c>
      <c r="U596" s="170">
        <f t="shared" si="286"/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257"/>
        <v>0.78751847515137252</v>
      </c>
      <c r="Y596" s="171">
        <f t="shared" si="275"/>
        <v>0.1236010093513092</v>
      </c>
      <c r="Z596" s="784">
        <f t="shared" si="283"/>
        <v>-0.19113753587688592</v>
      </c>
    </row>
    <row r="597" spans="1:26" ht="20.100000000000001" customHeight="1" x14ac:dyDescent="0.25">
      <c r="A597" s="160">
        <f t="shared" si="281"/>
        <v>931</v>
      </c>
      <c r="B597" s="169">
        <v>43164</v>
      </c>
      <c r="C597" s="211">
        <v>2720.94</v>
      </c>
      <c r="D597" s="168">
        <f t="shared" si="278"/>
        <v>1.1032048304691148E-2</v>
      </c>
      <c r="E597" s="205">
        <f t="shared" si="271"/>
        <v>0.29418199805939765</v>
      </c>
      <c r="F597" s="215">
        <v>7330.7</v>
      </c>
      <c r="G597" s="168">
        <f t="shared" si="279"/>
        <v>1.0036016125965526E-2</v>
      </c>
      <c r="H597" s="199">
        <f t="shared" si="276"/>
        <v>0.43973525541567648</v>
      </c>
      <c r="I597" s="217">
        <v>441211.16</v>
      </c>
      <c r="J597" s="170">
        <v>400000</v>
      </c>
      <c r="K597" s="170">
        <f t="shared" si="277"/>
        <v>5642.0499999999884</v>
      </c>
      <c r="L597" s="168">
        <f t="shared" si="285"/>
        <v>1.2953283119640851E-2</v>
      </c>
      <c r="M597" s="178">
        <f t="shared" si="272"/>
        <v>41211.159999999974</v>
      </c>
      <c r="N597" s="180">
        <f t="shared" si="280"/>
        <v>0.10302789999999994</v>
      </c>
      <c r="O597" s="179">
        <f t="shared" si="282"/>
        <v>4.0419914581095569E-2</v>
      </c>
      <c r="P597" s="178" t="b">
        <f t="shared" si="273"/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si="284"/>
        <v>95090.459999999963</v>
      </c>
      <c r="T597" s="170">
        <v>-31972</v>
      </c>
      <c r="U597" s="170">
        <f t="shared" si="286"/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257"/>
        <v>0.82425954557302428</v>
      </c>
      <c r="Y597" s="171">
        <f t="shared" ref="Y597:Y630" si="287">O597/W597</f>
        <v>0.14280720806744707</v>
      </c>
      <c r="Z597" s="784">
        <f t="shared" si="283"/>
        <v>-0.1911540980593977</v>
      </c>
    </row>
    <row r="598" spans="1:26" ht="20.100000000000001" customHeight="1" x14ac:dyDescent="0.25">
      <c r="A598" s="160">
        <f t="shared" si="281"/>
        <v>932</v>
      </c>
      <c r="B598" s="169">
        <v>43165</v>
      </c>
      <c r="C598" s="211">
        <v>2728.12</v>
      </c>
      <c r="D598" s="168">
        <f t="shared" si="278"/>
        <v>2.6387939462097056E-3</v>
      </c>
      <c r="E598" s="205">
        <f t="shared" si="271"/>
        <v>0.29759707768117039</v>
      </c>
      <c r="F598" s="215">
        <v>7372</v>
      </c>
      <c r="G598" s="168">
        <f t="shared" si="279"/>
        <v>5.6338412429918269E-3</v>
      </c>
      <c r="H598" s="199">
        <f t="shared" si="276"/>
        <v>0.44784649527662673</v>
      </c>
      <c r="I598" s="217">
        <v>440897.46</v>
      </c>
      <c r="J598" s="170">
        <v>400000</v>
      </c>
      <c r="K598" s="170">
        <f t="shared" si="277"/>
        <v>-313.69999999995343</v>
      </c>
      <c r="L598" s="168">
        <f t="shared" si="285"/>
        <v>-7.1099742807945621E-4</v>
      </c>
      <c r="M598" s="178">
        <f t="shared" si="272"/>
        <v>40897.460000000021</v>
      </c>
      <c r="N598" s="180">
        <f t="shared" si="280"/>
        <v>0.10224365000000005</v>
      </c>
      <c r="O598" s="179">
        <f t="shared" si="282"/>
        <v>4.0069198672210322E-2</v>
      </c>
      <c r="P598" s="178" t="b">
        <f t="shared" si="273"/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si="284"/>
        <v>85683.450000000012</v>
      </c>
      <c r="T598" s="170">
        <v>-32140</v>
      </c>
      <c r="U598" s="170">
        <f t="shared" si="286"/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257"/>
        <v>0.8335920568605808</v>
      </c>
      <c r="Y598" s="171">
        <f t="shared" si="287"/>
        <v>0.14168663679665203</v>
      </c>
      <c r="Z598" s="784">
        <f t="shared" si="283"/>
        <v>-0.19535342768117034</v>
      </c>
    </row>
    <row r="599" spans="1:26" ht="20.100000000000001" customHeight="1" x14ac:dyDescent="0.25">
      <c r="A599" s="160">
        <f t="shared" si="281"/>
        <v>933</v>
      </c>
      <c r="B599" s="169">
        <v>43166</v>
      </c>
      <c r="C599" s="211">
        <v>2726.8</v>
      </c>
      <c r="D599" s="168">
        <f t="shared" si="278"/>
        <v>-4.8384968403138753E-4</v>
      </c>
      <c r="E599" s="205">
        <f t="shared" si="271"/>
        <v>0.29696923574513429</v>
      </c>
      <c r="F599" s="215">
        <v>7396.64</v>
      </c>
      <c r="G599" s="168">
        <f t="shared" si="279"/>
        <v>3.3423765599566368E-3</v>
      </c>
      <c r="H599" s="199">
        <f t="shared" si="276"/>
        <v>0.45268574346485468</v>
      </c>
      <c r="I599" s="217">
        <v>435779.16</v>
      </c>
      <c r="J599" s="170">
        <v>400000</v>
      </c>
      <c r="K599" s="170">
        <f t="shared" si="277"/>
        <v>-5118.3000000000466</v>
      </c>
      <c r="L599" s="168">
        <f t="shared" si="285"/>
        <v>-1.1608821697453295E-2</v>
      </c>
      <c r="M599" s="178">
        <f t="shared" si="272"/>
        <v>35779.159999999974</v>
      </c>
      <c r="N599" s="180">
        <f t="shared" si="280"/>
        <v>8.9447899999999941E-2</v>
      </c>
      <c r="O599" s="179">
        <f t="shared" si="282"/>
        <v>3.5016983360128595E-2</v>
      </c>
      <c r="P599" s="178" t="b">
        <f t="shared" si="273"/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si="284"/>
        <v>77605.699999999953</v>
      </c>
      <c r="T599" s="170">
        <v>-33468</v>
      </c>
      <c r="U599" s="170">
        <f t="shared" si="286"/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257"/>
        <v>0.83163155814580803</v>
      </c>
      <c r="Y599" s="171">
        <f t="shared" si="287"/>
        <v>0.12387755389225667</v>
      </c>
      <c r="Z599" s="784">
        <f t="shared" si="283"/>
        <v>-0.20752133574513434</v>
      </c>
    </row>
    <row r="600" spans="1:26" ht="20.100000000000001" customHeight="1" x14ac:dyDescent="0.25">
      <c r="A600" s="160">
        <f t="shared" si="281"/>
        <v>934</v>
      </c>
      <c r="B600" s="169">
        <v>43167</v>
      </c>
      <c r="C600" s="211">
        <v>2738.97</v>
      </c>
      <c r="D600" s="168">
        <f t="shared" si="278"/>
        <v>4.4631069385358728E-3</v>
      </c>
      <c r="E600" s="205">
        <f t="shared" si="271"/>
        <v>0.30275774814025597</v>
      </c>
      <c r="F600" s="215">
        <v>7427.94</v>
      </c>
      <c r="G600" s="168">
        <f t="shared" si="279"/>
        <v>4.2316511280796783E-3</v>
      </c>
      <c r="H600" s="199">
        <f t="shared" si="276"/>
        <v>0.45883300272993299</v>
      </c>
      <c r="I600" s="217">
        <v>429670.56</v>
      </c>
      <c r="J600" s="170">
        <v>400000</v>
      </c>
      <c r="K600" s="170">
        <f t="shared" si="277"/>
        <v>-6108.5999999999767</v>
      </c>
      <c r="L600" s="168">
        <f t="shared" si="285"/>
        <v>-1.4017650591643659E-2</v>
      </c>
      <c r="M600" s="178">
        <f t="shared" si="272"/>
        <v>29670.559999999998</v>
      </c>
      <c r="N600" s="180">
        <f t="shared" si="280"/>
        <v>7.417639999999999E-2</v>
      </c>
      <c r="O600" s="179">
        <f t="shared" si="282"/>
        <v>2.9007419807280513E-2</v>
      </c>
      <c r="P600" s="178" t="b">
        <f t="shared" si="273"/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si="284"/>
        <v>60329.349999999977</v>
      </c>
      <c r="T600" s="170">
        <v>-40317</v>
      </c>
      <c r="U600" s="170">
        <f t="shared" si="286"/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257"/>
        <v>0.84749854065243946</v>
      </c>
      <c r="Y600" s="171">
        <f t="shared" si="287"/>
        <v>0.10264674808116893</v>
      </c>
      <c r="Z600" s="784">
        <f t="shared" si="283"/>
        <v>-0.22858134814025599</v>
      </c>
    </row>
    <row r="601" spans="1:26" ht="20.100000000000001" customHeight="1" x14ac:dyDescent="0.25">
      <c r="A601" s="160">
        <f t="shared" si="281"/>
        <v>935</v>
      </c>
      <c r="B601" s="169">
        <v>43168</v>
      </c>
      <c r="C601" s="211">
        <v>2786.57</v>
      </c>
      <c r="D601" s="168">
        <f t="shared" si="278"/>
        <v>1.7378795678667663E-2</v>
      </c>
      <c r="E601" s="205">
        <f t="shared" si="271"/>
        <v>0.32539810886398662</v>
      </c>
      <c r="F601" s="215">
        <v>7560.81</v>
      </c>
      <c r="G601" s="168">
        <f t="shared" si="279"/>
        <v>1.7887866622509175E-2</v>
      </c>
      <c r="H601" s="199">
        <f t="shared" si="276"/>
        <v>0.48492841290728061</v>
      </c>
      <c r="I601" s="217">
        <v>438280.9</v>
      </c>
      <c r="J601" s="170">
        <v>400000</v>
      </c>
      <c r="K601" s="170">
        <f t="shared" si="277"/>
        <v>8610.3400000000256</v>
      </c>
      <c r="L601" s="168">
        <f t="shared" si="285"/>
        <v>2.0039399487830921E-2</v>
      </c>
      <c r="M601" s="178">
        <f t="shared" si="272"/>
        <v>38280.900000000023</v>
      </c>
      <c r="N601" s="180">
        <f t="shared" si="280"/>
        <v>9.5702250000000058E-2</v>
      </c>
      <c r="O601" s="179">
        <f t="shared" si="282"/>
        <v>3.7385290708556174E-2</v>
      </c>
      <c r="P601" s="178" t="b">
        <f t="shared" si="273"/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si="284"/>
        <v>63300.19</v>
      </c>
      <c r="T601" s="170">
        <v>-37017</v>
      </c>
      <c r="U601" s="170">
        <f t="shared" si="286"/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257"/>
        <v>0.90786803546627559</v>
      </c>
      <c r="Y601" s="171">
        <f t="shared" si="287"/>
        <v>0.13227032806369307</v>
      </c>
      <c r="Z601" s="784">
        <f t="shared" si="283"/>
        <v>-0.22969585886398658</v>
      </c>
    </row>
    <row r="602" spans="1:26" ht="20.100000000000001" customHeight="1" x14ac:dyDescent="0.25">
      <c r="A602" s="160">
        <f t="shared" si="281"/>
        <v>938</v>
      </c>
      <c r="B602" s="169">
        <v>43171</v>
      </c>
      <c r="C602" s="211">
        <v>2783.02</v>
      </c>
      <c r="D602" s="168">
        <f t="shared" si="278"/>
        <v>-1.273967637633428E-3</v>
      </c>
      <c r="E602" s="205">
        <f t="shared" si="271"/>
        <v>0.32370959456631337</v>
      </c>
      <c r="F602" s="215">
        <v>7588.32</v>
      </c>
      <c r="G602" s="168">
        <f t="shared" si="279"/>
        <v>3.6384990497049003E-3</v>
      </c>
      <c r="H602" s="199">
        <f t="shared" si="276"/>
        <v>0.49033132352652353</v>
      </c>
      <c r="I602" s="217">
        <v>437286.12</v>
      </c>
      <c r="J602" s="170">
        <v>400000</v>
      </c>
      <c r="K602" s="170">
        <f t="shared" si="277"/>
        <v>-994.78000000002794</v>
      </c>
      <c r="L602" s="168">
        <f t="shared" si="285"/>
        <v>-2.2697315808195792E-3</v>
      </c>
      <c r="M602" s="178">
        <f t="shared" si="272"/>
        <v>37286.119999999995</v>
      </c>
      <c r="N602" s="180">
        <f t="shared" si="280"/>
        <v>9.3215299999999987E-2</v>
      </c>
      <c r="O602" s="179">
        <f t="shared" si="282"/>
        <v>3.6297322308102335E-2</v>
      </c>
      <c r="P602" s="178" t="b">
        <f t="shared" si="273"/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si="284"/>
        <v>63300.19</v>
      </c>
      <c r="T602" s="170">
        <v>-37287</v>
      </c>
      <c r="U602" s="170">
        <f t="shared" si="286"/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257"/>
        <v>0.90099015764336643</v>
      </c>
      <c r="Y602" s="171">
        <f t="shared" si="287"/>
        <v>0.1285257694668818</v>
      </c>
      <c r="Z602" s="784">
        <f t="shared" si="283"/>
        <v>-0.23049429456631337</v>
      </c>
    </row>
    <row r="603" spans="1:26" ht="20.100000000000001" customHeight="1" x14ac:dyDescent="0.25">
      <c r="A603" s="160">
        <f t="shared" si="281"/>
        <v>939</v>
      </c>
      <c r="B603" s="169">
        <v>43172</v>
      </c>
      <c r="C603" s="211">
        <v>2765.31</v>
      </c>
      <c r="D603" s="168">
        <f t="shared" si="278"/>
        <v>-6.3635906317597562E-3</v>
      </c>
      <c r="E603" s="205">
        <f t="shared" si="271"/>
        <v>0.31528604859116066</v>
      </c>
      <c r="F603" s="215">
        <v>7511.01</v>
      </c>
      <c r="G603" s="168">
        <f t="shared" si="279"/>
        <v>-1.0188025808083936E-2</v>
      </c>
      <c r="H603" s="199">
        <f t="shared" si="276"/>
        <v>0.47514778953983944</v>
      </c>
      <c r="I603" s="217">
        <v>435615.49</v>
      </c>
      <c r="J603" s="170">
        <v>400000</v>
      </c>
      <c r="K603" s="170">
        <f t="shared" si="277"/>
        <v>-1670.6300000000047</v>
      </c>
      <c r="L603" s="168">
        <f t="shared" si="285"/>
        <v>-3.8204505553480744E-3</v>
      </c>
      <c r="M603" s="178">
        <f t="shared" si="272"/>
        <v>35615.489999999991</v>
      </c>
      <c r="N603" s="180">
        <f t="shared" si="280"/>
        <v>8.9038724999999971E-2</v>
      </c>
      <c r="O603" s="179">
        <f t="shared" si="282"/>
        <v>3.463407274361021E-2</v>
      </c>
      <c r="P603" s="178" t="b">
        <f t="shared" si="273"/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si="284"/>
        <v>56662.909999999974</v>
      </c>
      <c r="T603" s="170">
        <v>-37227</v>
      </c>
      <c r="U603" s="170">
        <f t="shared" si="286"/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88">E603/(A603/365.25)/V603</f>
        <v>0.87689760622217827</v>
      </c>
      <c r="Y603" s="171">
        <f t="shared" si="287"/>
        <v>0.12273260843724872</v>
      </c>
      <c r="Z603" s="784">
        <f t="shared" si="283"/>
        <v>-0.22624732359116068</v>
      </c>
    </row>
    <row r="604" spans="1:26" ht="20.100000000000001" customHeight="1" x14ac:dyDescent="0.25">
      <c r="A604" s="160">
        <f t="shared" si="281"/>
        <v>940</v>
      </c>
      <c r="B604" s="169">
        <v>43173</v>
      </c>
      <c r="C604" s="211">
        <v>2749.48</v>
      </c>
      <c r="D604" s="168">
        <f t="shared" si="278"/>
        <v>-5.7244938180529229E-3</v>
      </c>
      <c r="E604" s="205">
        <f t="shared" si="271"/>
        <v>0.30775670173702935</v>
      </c>
      <c r="F604" s="215">
        <v>7496.81</v>
      </c>
      <c r="G604" s="168">
        <f t="shared" si="279"/>
        <v>-1.8905579941978267E-3</v>
      </c>
      <c r="H604" s="199">
        <f t="shared" si="276"/>
        <v>0.47235893709370164</v>
      </c>
      <c r="I604" s="217">
        <v>429341.77</v>
      </c>
      <c r="J604" s="170">
        <v>400000</v>
      </c>
      <c r="K604" s="170">
        <f t="shared" si="277"/>
        <v>-6273.7199999999721</v>
      </c>
      <c r="L604" s="168">
        <f t="shared" si="285"/>
        <v>-1.4401967202773189E-2</v>
      </c>
      <c r="M604" s="178">
        <f t="shared" si="272"/>
        <v>29341.770000000019</v>
      </c>
      <c r="N604" s="180">
        <f t="shared" si="280"/>
        <v>7.3354425000000043E-2</v>
      </c>
      <c r="O604" s="179">
        <f t="shared" si="282"/>
        <v>2.8502876309840441E-2</v>
      </c>
      <c r="P604" s="178" t="b">
        <f t="shared" si="273"/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si="284"/>
        <v>56710.910000000033</v>
      </c>
      <c r="T604" s="170">
        <v>-38937</v>
      </c>
      <c r="U604" s="170">
        <f t="shared" si="286"/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88"/>
        <v>0.8554034888269002</v>
      </c>
      <c r="Y604" s="171">
        <f t="shared" si="287"/>
        <v>0.10103058160703758</v>
      </c>
      <c r="Z604" s="784">
        <f t="shared" si="283"/>
        <v>-0.23440227673702929</v>
      </c>
    </row>
    <row r="605" spans="1:26" ht="20.100000000000001" customHeight="1" x14ac:dyDescent="0.25">
      <c r="A605" s="160">
        <f t="shared" si="281"/>
        <v>941</v>
      </c>
      <c r="B605" s="169">
        <v>43174</v>
      </c>
      <c r="C605" s="211">
        <v>2747.33</v>
      </c>
      <c r="D605" s="168">
        <f t="shared" si="278"/>
        <v>-7.8196604448844541E-4</v>
      </c>
      <c r="E605" s="205">
        <f t="shared" si="271"/>
        <v>0.30673408040181876</v>
      </c>
      <c r="F605" s="215">
        <v>7481.74</v>
      </c>
      <c r="G605" s="168">
        <f t="shared" si="279"/>
        <v>-2.0101883334379044E-3</v>
      </c>
      <c r="H605" s="199">
        <f t="shared" si="276"/>
        <v>0.46939921833572285</v>
      </c>
      <c r="I605" s="217">
        <v>429379.29</v>
      </c>
      <c r="J605" s="170">
        <v>400000</v>
      </c>
      <c r="K605" s="170">
        <f t="shared" si="277"/>
        <v>37.519999999960419</v>
      </c>
      <c r="L605" s="168">
        <f t="shared" si="285"/>
        <v>8.7389587088068359E-5</v>
      </c>
      <c r="M605" s="178">
        <f t="shared" si="272"/>
        <v>29379.289999999979</v>
      </c>
      <c r="N605" s="180">
        <f t="shared" si="280"/>
        <v>7.344822499999995E-2</v>
      </c>
      <c r="O605" s="179">
        <f t="shared" si="282"/>
        <v>2.8508994879117941E-2</v>
      </c>
      <c r="P605" s="178" t="b">
        <f t="shared" si="273"/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si="284"/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88"/>
        <v>0.85234871317056815</v>
      </c>
      <c r="Y605" s="171">
        <f t="shared" si="287"/>
        <v>0.10113626398951872</v>
      </c>
      <c r="Z605" s="784">
        <f t="shared" si="283"/>
        <v>-0.23328585540181881</v>
      </c>
    </row>
    <row r="606" spans="1:26" ht="20.100000000000001" customHeight="1" x14ac:dyDescent="0.25">
      <c r="A606" s="160">
        <f t="shared" si="281"/>
        <v>942</v>
      </c>
      <c r="B606" s="169">
        <v>43175</v>
      </c>
      <c r="C606" s="211">
        <v>2752.02</v>
      </c>
      <c r="D606" s="168">
        <f t="shared" si="278"/>
        <v>1.707111996010692E-3</v>
      </c>
      <c r="E606" s="205">
        <f t="shared" si="271"/>
        <v>0.30896482182606871</v>
      </c>
      <c r="F606" s="215">
        <v>7481.98</v>
      </c>
      <c r="G606" s="168">
        <f t="shared" si="279"/>
        <v>3.2078099479503662E-5</v>
      </c>
      <c r="H606" s="199">
        <f t="shared" si="276"/>
        <v>0.46944635387002376</v>
      </c>
      <c r="I606" s="217">
        <v>432834.68</v>
      </c>
      <c r="J606" s="170">
        <v>400000</v>
      </c>
      <c r="K606" s="170">
        <f t="shared" si="277"/>
        <v>3455.390000000014</v>
      </c>
      <c r="L606" s="168">
        <f t="shared" si="285"/>
        <v>8.0474072235761866E-3</v>
      </c>
      <c r="M606" s="178">
        <f t="shared" si="272"/>
        <v>32834.679999999993</v>
      </c>
      <c r="N606" s="180">
        <f t="shared" si="280"/>
        <v>8.2086699999999985E-2</v>
      </c>
      <c r="O606" s="179">
        <f t="shared" si="282"/>
        <v>3.1828202945859869E-2</v>
      </c>
      <c r="P606" s="178" t="b">
        <f t="shared" si="273"/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si="284"/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88"/>
        <v>0.85833429912511727</v>
      </c>
      <c r="Y606" s="171">
        <f t="shared" si="287"/>
        <v>0.112987939130472</v>
      </c>
      <c r="Z606" s="784">
        <f t="shared" si="283"/>
        <v>-0.22687812182606873</v>
      </c>
    </row>
    <row r="607" spans="1:26" ht="20.100000000000001" customHeight="1" x14ac:dyDescent="0.25">
      <c r="A607" s="160">
        <f t="shared" si="281"/>
        <v>945</v>
      </c>
      <c r="B607" s="169">
        <v>43178</v>
      </c>
      <c r="C607" s="211">
        <v>2712.92</v>
      </c>
      <c r="D607" s="168">
        <f t="shared" si="278"/>
        <v>-1.4207745583244275E-2</v>
      </c>
      <c r="E607" s="205">
        <f t="shared" si="271"/>
        <v>0.29036738266014728</v>
      </c>
      <c r="F607" s="215">
        <v>7324.44</v>
      </c>
      <c r="G607" s="168">
        <f t="shared" si="279"/>
        <v>-2.1055923699341613E-2</v>
      </c>
      <c r="H607" s="199">
        <f t="shared" ref="H607:H629" si="289">(F607-F$2)/F$2</f>
        <v>0.43850580356266078</v>
      </c>
      <c r="I607" s="217">
        <v>436840.3</v>
      </c>
      <c r="J607" s="170">
        <v>410000</v>
      </c>
      <c r="K607" s="170">
        <f t="shared" ref="K607:K629" si="290">I607-I606-J607+J606</f>
        <v>-5994.3800000000047</v>
      </c>
      <c r="L607" s="168">
        <f t="shared" si="285"/>
        <v>-1.3849121331959825E-2</v>
      </c>
      <c r="M607" s="178">
        <f t="shared" si="272"/>
        <v>26840.299999999988</v>
      </c>
      <c r="N607" s="180">
        <f t="shared" si="280"/>
        <v>6.5464146341463386E-2</v>
      </c>
      <c r="O607" s="179">
        <f t="shared" si="282"/>
        <v>2.5302412117692595E-2</v>
      </c>
      <c r="P607" s="178" t="b">
        <f t="shared" si="273"/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88"/>
        <v>0.80292049349285621</v>
      </c>
      <c r="Y607" s="171">
        <f t="shared" si="287"/>
        <v>8.9847727916889275E-2</v>
      </c>
      <c r="Z607" s="784">
        <f t="shared" si="283"/>
        <v>-0.22490323631868389</v>
      </c>
    </row>
    <row r="608" spans="1:26" ht="20.100000000000001" customHeight="1" x14ac:dyDescent="0.25">
      <c r="A608" s="160">
        <f t="shared" si="281"/>
        <v>946</v>
      </c>
      <c r="B608" s="169">
        <v>43179</v>
      </c>
      <c r="C608" s="211">
        <v>2716.94</v>
      </c>
      <c r="D608" s="168">
        <f t="shared" ref="D608:D629" si="291">(C608-C607)/C607</f>
        <v>1.4817982100467325E-3</v>
      </c>
      <c r="E608" s="205">
        <f t="shared" si="271"/>
        <v>0.29227944673807577</v>
      </c>
      <c r="F608" s="215">
        <v>7364.3</v>
      </c>
      <c r="G608" s="168">
        <f t="shared" ref="G608:G629" si="292">(F608-F607)/F607</f>
        <v>5.4420542730912649E-3</v>
      </c>
      <c r="H608" s="199">
        <f t="shared" si="289"/>
        <v>0.44633423021780555</v>
      </c>
      <c r="I608" s="217">
        <v>437944.26</v>
      </c>
      <c r="J608" s="170">
        <v>410000</v>
      </c>
      <c r="K608" s="170">
        <f t="shared" si="290"/>
        <v>1103.960000000021</v>
      </c>
      <c r="L608" s="168">
        <f t="shared" si="285"/>
        <v>2.5271477929120116E-3</v>
      </c>
      <c r="M608" s="178">
        <f t="shared" si="272"/>
        <v>27944.260000000009</v>
      </c>
      <c r="N608" s="180">
        <f t="shared" si="280"/>
        <v>6.8156731707317092E-2</v>
      </c>
      <c r="O608" s="179">
        <f t="shared" si="282"/>
        <v>2.6315270883824068E-2</v>
      </c>
      <c r="P608" s="178" t="b">
        <f t="shared" si="273"/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ref="S608:S615" si="293">I608-R608</f>
        <v>28945.729999999981</v>
      </c>
      <c r="T608" s="170">
        <v>-39027</v>
      </c>
      <c r="U608" s="170">
        <f t="shared" ref="U608:U615" si="294">M608-T608</f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88"/>
        <v>0.8080124410173406</v>
      </c>
      <c r="Y608" s="171">
        <f t="shared" si="287"/>
        <v>9.3520622966023703E-2</v>
      </c>
      <c r="Z608" s="784">
        <f t="shared" si="283"/>
        <v>-0.22412271503075867</v>
      </c>
    </row>
    <row r="609" spans="1:26" ht="20.100000000000001" customHeight="1" x14ac:dyDescent="0.25">
      <c r="A609" s="160">
        <f t="shared" si="281"/>
        <v>947</v>
      </c>
      <c r="B609" s="169">
        <v>43180</v>
      </c>
      <c r="C609" s="211">
        <v>2711.93</v>
      </c>
      <c r="D609" s="168">
        <f t="shared" si="291"/>
        <v>-1.8439862492363535E-3</v>
      </c>
      <c r="E609" s="205">
        <f t="shared" si="271"/>
        <v>0.28989650120811999</v>
      </c>
      <c r="F609" s="215">
        <v>7345.28</v>
      </c>
      <c r="G609" s="168">
        <f t="shared" si="292"/>
        <v>-2.582730198389587E-3</v>
      </c>
      <c r="H609" s="199">
        <f t="shared" si="289"/>
        <v>0.44259873912445746</v>
      </c>
      <c r="I609" s="217">
        <v>444291.72</v>
      </c>
      <c r="J609" s="170">
        <v>410000</v>
      </c>
      <c r="K609" s="170">
        <f t="shared" si="290"/>
        <v>6347.4599999999627</v>
      </c>
      <c r="L609" s="168">
        <f t="shared" si="285"/>
        <v>1.4493762288378806E-2</v>
      </c>
      <c r="M609" s="178">
        <f t="shared" si="272"/>
        <v>34291.719999999972</v>
      </c>
      <c r="N609" s="180">
        <f t="shared" si="280"/>
        <v>8.3638341463414562E-2</v>
      </c>
      <c r="O609" s="179">
        <f t="shared" si="282"/>
        <v>3.2258610580266286E-2</v>
      </c>
      <c r="P609" s="178" t="b">
        <f t="shared" si="273"/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si="293"/>
        <v>55825.989999999991</v>
      </c>
      <c r="T609" s="170">
        <v>-38907</v>
      </c>
      <c r="U609" s="170">
        <f t="shared" si="294"/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88"/>
        <v>0.80119441759034837</v>
      </c>
      <c r="Y609" s="171">
        <f t="shared" si="287"/>
        <v>0.11467787321656459</v>
      </c>
      <c r="Z609" s="784">
        <f t="shared" si="283"/>
        <v>-0.20625815974470543</v>
      </c>
    </row>
    <row r="610" spans="1:26" ht="20.100000000000001" customHeight="1" x14ac:dyDescent="0.25">
      <c r="A610" s="160">
        <f t="shared" si="281"/>
        <v>948</v>
      </c>
      <c r="B610" s="169">
        <v>43181</v>
      </c>
      <c r="C610" s="211">
        <v>2643.69</v>
      </c>
      <c r="D610" s="168">
        <f t="shared" si="291"/>
        <v>-2.5162891372564847E-2</v>
      </c>
      <c r="E610" s="205">
        <f t="shared" si="271"/>
        <v>0.25743897566636859</v>
      </c>
      <c r="F610" s="215">
        <v>7166.67</v>
      </c>
      <c r="G610" s="168">
        <f t="shared" si="292"/>
        <v>-2.4316295634747714E-2</v>
      </c>
      <c r="H610" s="199">
        <f t="shared" si="289"/>
        <v>0.40752008170159287</v>
      </c>
      <c r="I610" s="217">
        <v>436497.12</v>
      </c>
      <c r="J610" s="170">
        <v>410000</v>
      </c>
      <c r="K610" s="170">
        <f t="shared" si="290"/>
        <v>-7794.5999999999767</v>
      </c>
      <c r="L610" s="168">
        <f t="shared" si="285"/>
        <v>-1.7543878603004298E-2</v>
      </c>
      <c r="M610" s="178">
        <f t="shared" si="272"/>
        <v>26497.119999999995</v>
      </c>
      <c r="N610" s="180">
        <f t="shared" si="280"/>
        <v>6.4627121951219502E-2</v>
      </c>
      <c r="O610" s="179">
        <f t="shared" si="282"/>
        <v>2.4899848410003086E-2</v>
      </c>
      <c r="P610" s="178" t="b">
        <f t="shared" si="273"/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si="293"/>
        <v>31496.440000000002</v>
      </c>
      <c r="T610" s="170">
        <v>-39087</v>
      </c>
      <c r="U610" s="170">
        <f t="shared" si="294"/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88"/>
        <v>0.706401194872605</v>
      </c>
      <c r="Y610" s="171">
        <f t="shared" si="287"/>
        <v>8.8515312282273592E-2</v>
      </c>
      <c r="Z610" s="784">
        <f t="shared" si="283"/>
        <v>-0.19281185371514908</v>
      </c>
    </row>
    <row r="611" spans="1:26" ht="20.100000000000001" customHeight="1" x14ac:dyDescent="0.25">
      <c r="A611" s="160">
        <f t="shared" ref="A611:A642" si="295">B611-$B$2</f>
        <v>949</v>
      </c>
      <c r="B611" s="169">
        <v>43182</v>
      </c>
      <c r="C611" s="211">
        <v>2588.2800000000002</v>
      </c>
      <c r="D611" s="168">
        <f t="shared" si="291"/>
        <v>-2.0959340921212342E-2</v>
      </c>
      <c r="E611" s="205">
        <f t="shared" si="271"/>
        <v>0.23108388348775716</v>
      </c>
      <c r="F611" s="215">
        <v>6992.66</v>
      </c>
      <c r="G611" s="168">
        <f t="shared" si="292"/>
        <v>-2.4280453823044765E-2</v>
      </c>
      <c r="H611" s="199">
        <f t="shared" si="289"/>
        <v>0.37334485535282913</v>
      </c>
      <c r="I611" s="217">
        <v>432731.74</v>
      </c>
      <c r="J611" s="170">
        <v>410000</v>
      </c>
      <c r="K611" s="170">
        <f t="shared" si="290"/>
        <v>-3765.3800000000047</v>
      </c>
      <c r="L611" s="168">
        <f t="shared" si="285"/>
        <v>-8.6263570307176483E-3</v>
      </c>
      <c r="M611" s="178">
        <f t="shared" si="272"/>
        <v>22731.739999999991</v>
      </c>
      <c r="N611" s="180">
        <f t="shared" si="280"/>
        <v>5.5443268292682903E-2</v>
      </c>
      <c r="O611" s="179">
        <f t="shared" ref="O611:O642" si="296">N611/(A611/365.25)</f>
        <v>2.1338939666915101E-2</v>
      </c>
      <c r="P611" s="178" t="b">
        <f t="shared" si="273"/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si="293"/>
        <v>22035.959999999963</v>
      </c>
      <c r="T611" s="170">
        <v>-38588</v>
      </c>
      <c r="U611" s="170">
        <f t="shared" si="294"/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88"/>
        <v>0.63091454878179509</v>
      </c>
      <c r="Y611" s="171">
        <f t="shared" si="287"/>
        <v>7.5902843298805325E-2</v>
      </c>
      <c r="Z611" s="784">
        <f t="shared" si="283"/>
        <v>-0.17564061519507426</v>
      </c>
    </row>
    <row r="612" spans="1:26" ht="20.100000000000001" customHeight="1" x14ac:dyDescent="0.25">
      <c r="A612" s="160">
        <f t="shared" si="295"/>
        <v>952</v>
      </c>
      <c r="B612" s="169">
        <v>43185</v>
      </c>
      <c r="C612" s="211">
        <v>2658.55</v>
      </c>
      <c r="D612" s="168">
        <f t="shared" si="291"/>
        <v>2.7149303784752801E-2</v>
      </c>
      <c r="E612" s="205">
        <f t="shared" si="271"/>
        <v>0.26450695382507949</v>
      </c>
      <c r="F612" s="215">
        <v>7220.54</v>
      </c>
      <c r="G612" s="168">
        <f t="shared" si="292"/>
        <v>3.2588457039238301E-2</v>
      </c>
      <c r="H612" s="199">
        <f t="shared" si="289"/>
        <v>0.41810004517155375</v>
      </c>
      <c r="I612" s="217">
        <v>442155.65</v>
      </c>
      <c r="J612" s="170">
        <v>410000</v>
      </c>
      <c r="K612" s="170">
        <f t="shared" si="290"/>
        <v>9423.9100000000326</v>
      </c>
      <c r="L612" s="168">
        <f t="shared" si="285"/>
        <v>2.1777718454394013E-2</v>
      </c>
      <c r="M612" s="178">
        <f t="shared" si="272"/>
        <v>32155.650000000023</v>
      </c>
      <c r="N612" s="180">
        <f t="shared" si="280"/>
        <v>7.8428414634146404E-2</v>
      </c>
      <c r="O612" s="179">
        <f t="shared" si="296"/>
        <v>3.0090313492775182E-2</v>
      </c>
      <c r="P612" s="178" t="b">
        <f t="shared" si="273"/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si="293"/>
        <v>22035.47000000003</v>
      </c>
      <c r="T612" s="170">
        <v>-36818</v>
      </c>
      <c r="U612" s="170">
        <f t="shared" si="294"/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88"/>
        <v>0.71516798856025343</v>
      </c>
      <c r="Y612" s="171">
        <f t="shared" si="287"/>
        <v>0.10699220983823964</v>
      </c>
      <c r="Z612" s="784">
        <f t="shared" si="283"/>
        <v>-0.18607853919093309</v>
      </c>
    </row>
    <row r="613" spans="1:26" ht="20.100000000000001" customHeight="1" x14ac:dyDescent="0.25">
      <c r="A613" s="160">
        <f t="shared" si="295"/>
        <v>953</v>
      </c>
      <c r="B613" s="169">
        <v>43186</v>
      </c>
      <c r="C613" s="211">
        <v>2612.62</v>
      </c>
      <c r="D613" s="168">
        <f t="shared" si="291"/>
        <v>-1.7276334844182086E-2</v>
      </c>
      <c r="E613" s="205">
        <f t="shared" si="271"/>
        <v>0.24266090827800071</v>
      </c>
      <c r="F613" s="215">
        <v>7008.8</v>
      </c>
      <c r="G613" s="168">
        <f t="shared" si="292"/>
        <v>-2.9324676547737398E-2</v>
      </c>
      <c r="H613" s="199">
        <f t="shared" si="289"/>
        <v>0.37651472003456615</v>
      </c>
      <c r="I613" s="217">
        <v>435282.26</v>
      </c>
      <c r="J613" s="170">
        <v>410000</v>
      </c>
      <c r="K613" s="170">
        <f t="shared" si="290"/>
        <v>-6873.390000000014</v>
      </c>
      <c r="L613" s="168">
        <f t="shared" si="285"/>
        <v>-1.5545181883348124E-2</v>
      </c>
      <c r="M613" s="178">
        <f t="shared" si="272"/>
        <v>25282.260000000009</v>
      </c>
      <c r="N613" s="180">
        <f t="shared" si="280"/>
        <v>6.1664048780487826E-2</v>
      </c>
      <c r="O613" s="179">
        <f t="shared" si="296"/>
        <v>2.363357168633072E-2</v>
      </c>
      <c r="P613" s="178" t="b">
        <f t="shared" si="273"/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si="293"/>
        <v>19073.869999999995</v>
      </c>
      <c r="T613" s="170">
        <v>-38018</v>
      </c>
      <c r="U613" s="170">
        <f t="shared" si="294"/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88"/>
        <v>0.65385231411549516</v>
      </c>
      <c r="Y613" s="171">
        <f t="shared" si="287"/>
        <v>8.4046553890140388E-2</v>
      </c>
      <c r="Z613" s="784">
        <f t="shared" si="283"/>
        <v>-0.18099685949751287</v>
      </c>
    </row>
    <row r="614" spans="1:26" ht="20.100000000000001" customHeight="1" x14ac:dyDescent="0.25">
      <c r="A614" s="160">
        <f t="shared" si="295"/>
        <v>954</v>
      </c>
      <c r="B614" s="169">
        <v>43187</v>
      </c>
      <c r="C614" s="211">
        <v>2605</v>
      </c>
      <c r="D614" s="168">
        <f t="shared" si="291"/>
        <v>-2.9166124426820168E-3</v>
      </c>
      <c r="E614" s="205">
        <f t="shared" si="271"/>
        <v>0.23903654801088256</v>
      </c>
      <c r="F614" s="215">
        <v>6949.22</v>
      </c>
      <c r="G614" s="168">
        <f t="shared" si="292"/>
        <v>-8.5007419244378397E-3</v>
      </c>
      <c r="H614" s="199">
        <f t="shared" si="289"/>
        <v>0.36481332364436247</v>
      </c>
      <c r="I614" s="217">
        <v>434900.1</v>
      </c>
      <c r="J614" s="170">
        <v>410000</v>
      </c>
      <c r="K614" s="170">
        <f t="shared" si="290"/>
        <v>-382.1600000000326</v>
      </c>
      <c r="L614" s="168">
        <f t="shared" si="285"/>
        <v>-8.7795905121433755E-4</v>
      </c>
      <c r="M614" s="178">
        <f t="shared" si="272"/>
        <v>24900.099999999977</v>
      </c>
      <c r="N614" s="180">
        <f t="shared" si="280"/>
        <v>6.0731951219512137E-2</v>
      </c>
      <c r="O614" s="179">
        <f t="shared" si="296"/>
        <v>2.325193415401133E-2</v>
      </c>
      <c r="P614" s="178" t="b">
        <f t="shared" si="273"/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si="293"/>
        <v>11260.869999999995</v>
      </c>
      <c r="T614" s="170">
        <v>-37568</v>
      </c>
      <c r="U614" s="170">
        <f t="shared" si="294"/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88"/>
        <v>0.64386646505164302</v>
      </c>
      <c r="Y614" s="171">
        <f t="shared" si="287"/>
        <v>8.2756726887908791E-2</v>
      </c>
      <c r="Z614" s="784">
        <f t="shared" si="283"/>
        <v>-0.17830459679137042</v>
      </c>
    </row>
    <row r="615" spans="1:26" ht="20.100000000000001" customHeight="1" x14ac:dyDescent="0.25">
      <c r="A615" s="160">
        <f t="shared" si="295"/>
        <v>955</v>
      </c>
      <c r="B615" s="169">
        <v>43188</v>
      </c>
      <c r="C615" s="211">
        <v>2640.87</v>
      </c>
      <c r="D615" s="168">
        <f t="shared" si="291"/>
        <v>1.3769673704414545E-2</v>
      </c>
      <c r="E615" s="205">
        <f t="shared" si="271"/>
        <v>0.2560976769848366</v>
      </c>
      <c r="F615" s="215">
        <v>7063.44</v>
      </c>
      <c r="G615" s="168">
        <f t="shared" si="292"/>
        <v>1.6436377032242374E-2</v>
      </c>
      <c r="H615" s="199">
        <f t="shared" si="289"/>
        <v>0.38724591001040909</v>
      </c>
      <c r="I615" s="406">
        <v>442598.74</v>
      </c>
      <c r="J615" s="170">
        <v>410000</v>
      </c>
      <c r="K615" s="170">
        <f t="shared" si="290"/>
        <v>7698.640000000014</v>
      </c>
      <c r="L615" s="168">
        <f t="shared" si="285"/>
        <v>1.770208836466125E-2</v>
      </c>
      <c r="M615" s="406">
        <f t="shared" si="272"/>
        <v>32598.739999999991</v>
      </c>
      <c r="N615" s="180">
        <f t="shared" si="280"/>
        <v>7.9509121951219494E-2</v>
      </c>
      <c r="O615" s="179">
        <f t="shared" si="296"/>
        <v>3.0409117060400961E-2</v>
      </c>
      <c r="P615" s="178" t="b">
        <f t="shared" si="273"/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si="293"/>
        <v>27392.809999999998</v>
      </c>
      <c r="T615" s="170">
        <v>-36608</v>
      </c>
      <c r="U615" s="170">
        <f t="shared" si="294"/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88"/>
        <v>0.68840885912616945</v>
      </c>
      <c r="Y615" s="171">
        <f t="shared" si="287"/>
        <v>0.10823468415654401</v>
      </c>
      <c r="Z615" s="784">
        <f t="shared" si="283"/>
        <v>-0.17658855503361709</v>
      </c>
    </row>
    <row r="616" spans="1:26" ht="20.100000000000001" customHeight="1" x14ac:dyDescent="0.25">
      <c r="A616" s="160">
        <f t="shared" si="295"/>
        <v>959</v>
      </c>
      <c r="B616" s="169">
        <v>43192</v>
      </c>
      <c r="C616" s="211">
        <v>2581.88</v>
      </c>
      <c r="D616" s="168">
        <f t="shared" si="291"/>
        <v>-2.2337335802216612E-2</v>
      </c>
      <c r="E616" s="205">
        <f t="shared" si="271"/>
        <v>0.22803980137364208</v>
      </c>
      <c r="F616" s="215">
        <v>6870.11</v>
      </c>
      <c r="G616" s="168">
        <f t="shared" si="292"/>
        <v>-2.737051634897443E-2</v>
      </c>
      <c r="H616" s="199">
        <f t="shared" si="289"/>
        <v>0.34927627315042126</v>
      </c>
      <c r="I616" s="217">
        <v>431276</v>
      </c>
      <c r="J616" s="170">
        <v>410000</v>
      </c>
      <c r="K616" s="170">
        <f t="shared" si="290"/>
        <v>-11322.739999999991</v>
      </c>
      <c r="L616" s="168">
        <f t="shared" si="285"/>
        <v>-2.558240450481172E-2</v>
      </c>
      <c r="M616" s="178">
        <f t="shared" si="272"/>
        <v>21276</v>
      </c>
      <c r="N616" s="180">
        <f t="shared" si="280"/>
        <v>5.1892682926829269E-2</v>
      </c>
      <c r="O616" s="179">
        <f t="shared" si="296"/>
        <v>1.9764131844655256E-2</v>
      </c>
      <c r="P616" s="178" t="b">
        <f t="shared" si="273"/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88"/>
        <v>0.60774375647435264</v>
      </c>
      <c r="Y616" s="171">
        <f t="shared" si="287"/>
        <v>7.0279387234619906E-2</v>
      </c>
      <c r="Z616" s="784">
        <f t="shared" si="283"/>
        <v>-0.1761471184468128</v>
      </c>
    </row>
    <row r="617" spans="1:26" ht="20.100000000000001" customHeight="1" x14ac:dyDescent="0.25">
      <c r="A617" s="160">
        <f t="shared" si="295"/>
        <v>960</v>
      </c>
      <c r="B617" s="169">
        <v>43193</v>
      </c>
      <c r="C617" s="211">
        <v>2614.4499999999998</v>
      </c>
      <c r="D617" s="168">
        <f t="shared" si="291"/>
        <v>1.2614838799634261E-2</v>
      </c>
      <c r="E617" s="205">
        <f t="shared" si="271"/>
        <v>0.24353132550750545</v>
      </c>
      <c r="F617" s="215">
        <v>6941.28</v>
      </c>
      <c r="G617" s="168">
        <f t="shared" si="292"/>
        <v>1.0359368336169301E-2</v>
      </c>
      <c r="H617" s="199">
        <f t="shared" si="289"/>
        <v>0.36325392305124027</v>
      </c>
      <c r="I617" s="217">
        <v>437107.28</v>
      </c>
      <c r="J617" s="170">
        <v>410000</v>
      </c>
      <c r="K617" s="170">
        <f t="shared" si="290"/>
        <v>5831.2800000000279</v>
      </c>
      <c r="L617" s="168">
        <f t="shared" si="285"/>
        <v>1.3520993516912669E-2</v>
      </c>
      <c r="M617" s="178">
        <f t="shared" si="272"/>
        <v>27107.280000000028</v>
      </c>
      <c r="N617" s="180">
        <f t="shared" si="280"/>
        <v>6.6115317073170796E-2</v>
      </c>
      <c r="O617" s="179">
        <f t="shared" si="296"/>
        <v>2.5154812042682953E-2</v>
      </c>
      <c r="P617" s="178" t="b">
        <f t="shared" si="273"/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:S648" si="297">I617-R617</f>
        <v>19018.590000000026</v>
      </c>
      <c r="T617" s="170">
        <v>-37594</v>
      </c>
      <c r="U617" s="170">
        <f t="shared" ref="U617:U662" si="298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88"/>
        <v>0.64790785018491726</v>
      </c>
      <c r="Y617" s="171">
        <f t="shared" si="287"/>
        <v>8.9481345757524977E-2</v>
      </c>
      <c r="Z617" s="784">
        <f t="shared" si="283"/>
        <v>-0.17741600843433464</v>
      </c>
    </row>
    <row r="618" spans="1:26" ht="20.100000000000001" customHeight="1" x14ac:dyDescent="0.25">
      <c r="A618" s="160">
        <f t="shared" si="295"/>
        <v>961</v>
      </c>
      <c r="B618" s="169">
        <v>43194</v>
      </c>
      <c r="C618" s="211">
        <v>2644.69</v>
      </c>
      <c r="D618" s="168">
        <f t="shared" si="291"/>
        <v>1.1566486259060314E-2</v>
      </c>
      <c r="E618" s="205">
        <f t="shared" ref="E618:E685" si="299">(C618-$C$2)/$C$2</f>
        <v>0.25791461349669909</v>
      </c>
      <c r="F618" s="215">
        <v>7042.1</v>
      </c>
      <c r="G618" s="168">
        <f t="shared" si="292"/>
        <v>1.452469861466482E-2</v>
      </c>
      <c r="H618" s="199">
        <f t="shared" si="289"/>
        <v>0.38305477541881899</v>
      </c>
      <c r="I618" s="217">
        <v>442334.44</v>
      </c>
      <c r="J618" s="170">
        <v>410000</v>
      </c>
      <c r="K618" s="170">
        <f t="shared" si="290"/>
        <v>5227.1599999999744</v>
      </c>
      <c r="L618" s="168">
        <f t="shared" si="285"/>
        <v>1.1958528807847753E-2</v>
      </c>
      <c r="M618" s="178">
        <f t="shared" ref="M618:M685" si="300">I618-J618</f>
        <v>32334.440000000002</v>
      </c>
      <c r="N618" s="180">
        <f t="shared" ref="N618:N623" si="301">M618/J618</f>
        <v>7.886448780487805E-2</v>
      </c>
      <c r="O618" s="179">
        <f t="shared" si="296"/>
        <v>2.9974249917514788E-2</v>
      </c>
      <c r="P618" s="178" t="b">
        <f t="shared" ref="P618:P685" si="302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si="297"/>
        <v>42052.049999999988</v>
      </c>
      <c r="T618" s="170">
        <v>-36222</v>
      </c>
      <c r="U618" s="170">
        <f t="shared" si="298"/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88"/>
        <v>0.68516201202440108</v>
      </c>
      <c r="Y618" s="171">
        <f t="shared" si="287"/>
        <v>0.10667541658258604</v>
      </c>
      <c r="Z618" s="784">
        <f t="shared" ref="Z618:Z623" si="303">-(E618-N618)</f>
        <v>-0.17905012569182105</v>
      </c>
    </row>
    <row r="619" spans="1:26" ht="20.100000000000001" customHeight="1" x14ac:dyDescent="0.25">
      <c r="A619" s="160">
        <f t="shared" si="295"/>
        <v>962</v>
      </c>
      <c r="B619" s="169">
        <v>43195</v>
      </c>
      <c r="C619" s="211">
        <v>2662.84</v>
      </c>
      <c r="D619" s="168">
        <f t="shared" si="291"/>
        <v>6.8628081173975368E-3</v>
      </c>
      <c r="E619" s="205">
        <f t="shared" si="299"/>
        <v>0.26654744011719722</v>
      </c>
      <c r="F619" s="215">
        <v>7076.55</v>
      </c>
      <c r="G619" s="168">
        <f t="shared" si="292"/>
        <v>4.8920066457448508E-3</v>
      </c>
      <c r="H619" s="199">
        <f t="shared" si="289"/>
        <v>0.38982068857159702</v>
      </c>
      <c r="I619" s="217">
        <v>448428.71</v>
      </c>
      <c r="J619" s="170">
        <v>410000</v>
      </c>
      <c r="K619" s="170">
        <f t="shared" si="290"/>
        <v>6094.2700000000186</v>
      </c>
      <c r="L619" s="168">
        <f t="shared" si="285"/>
        <v>1.3777516396869343E-2</v>
      </c>
      <c r="M619" s="178">
        <f t="shared" si="300"/>
        <v>38428.710000000021</v>
      </c>
      <c r="N619" s="180">
        <f t="shared" si="301"/>
        <v>9.3728560975609804E-2</v>
      </c>
      <c r="O619" s="179">
        <f t="shared" si="296"/>
        <v>3.5586649580396555E-2</v>
      </c>
      <c r="P619" s="178" t="b">
        <f t="shared" si="302"/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si="297"/>
        <v>60541.619999999995</v>
      </c>
      <c r="T619" s="170">
        <v>-36897</v>
      </c>
      <c r="U619" s="170">
        <f t="shared" si="298"/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88"/>
        <v>0.70764020387309212</v>
      </c>
      <c r="Y619" s="171">
        <f t="shared" si="287"/>
        <v>0.1266942955572157</v>
      </c>
      <c r="Z619" s="784">
        <f t="shared" si="303"/>
        <v>-0.17281887914158742</v>
      </c>
    </row>
    <row r="620" spans="1:26" ht="20.100000000000001" customHeight="1" x14ac:dyDescent="0.25">
      <c r="A620" s="160">
        <f t="shared" si="295"/>
        <v>963</v>
      </c>
      <c r="B620" s="169">
        <v>43196</v>
      </c>
      <c r="C620" s="211">
        <v>2604.4699999999998</v>
      </c>
      <c r="D620" s="168">
        <f t="shared" si="291"/>
        <v>-2.1920205494885287E-2</v>
      </c>
      <c r="E620" s="205">
        <f t="shared" si="299"/>
        <v>0.23878445996080733</v>
      </c>
      <c r="F620" s="215">
        <v>6915.11</v>
      </c>
      <c r="G620" s="168">
        <f t="shared" si="292"/>
        <v>-2.2813376574743412E-2</v>
      </c>
      <c r="H620" s="199">
        <f t="shared" si="289"/>
        <v>0.35811418583184396</v>
      </c>
      <c r="I620" s="217">
        <v>452280.76</v>
      </c>
      <c r="J620" s="170">
        <v>420000</v>
      </c>
      <c r="K620" s="170">
        <f t="shared" si="290"/>
        <v>-6147.9500000000116</v>
      </c>
      <c r="L620" s="168">
        <f t="shared" si="285"/>
        <v>-1.3709983020489503E-2</v>
      </c>
      <c r="M620" s="178">
        <f t="shared" si="300"/>
        <v>32280.760000000009</v>
      </c>
      <c r="N620" s="180">
        <f t="shared" si="301"/>
        <v>7.6858952380952403E-2</v>
      </c>
      <c r="O620" s="179">
        <f t="shared" si="296"/>
        <v>2.9151331627354997E-2</v>
      </c>
      <c r="P620" s="178" t="b">
        <f t="shared" si="302"/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si="297"/>
        <v>47204.19</v>
      </c>
      <c r="T620" s="170">
        <v>-36997</v>
      </c>
      <c r="U620" s="170">
        <f t="shared" si="298"/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88"/>
        <v>0.63065365068171264</v>
      </c>
      <c r="Y620" s="171">
        <f t="shared" si="287"/>
        <v>0.10381346061251384</v>
      </c>
      <c r="Z620" s="784">
        <f t="shared" si="303"/>
        <v>-0.16192550757985491</v>
      </c>
    </row>
    <row r="621" spans="1:26" ht="20.100000000000001" customHeight="1" x14ac:dyDescent="0.25">
      <c r="A621" s="160">
        <f t="shared" si="295"/>
        <v>966</v>
      </c>
      <c r="B621" s="169">
        <v>43199</v>
      </c>
      <c r="C621" s="211">
        <v>2613.16</v>
      </c>
      <c r="D621" s="168">
        <f t="shared" si="291"/>
        <v>3.3365713561684545E-3</v>
      </c>
      <c r="E621" s="205">
        <f t="shared" si="299"/>
        <v>0.24291775270637916</v>
      </c>
      <c r="F621" s="215">
        <v>6950.34</v>
      </c>
      <c r="G621" s="168">
        <f t="shared" si="292"/>
        <v>5.0946405769395535E-3</v>
      </c>
      <c r="H621" s="199">
        <f t="shared" si="289"/>
        <v>0.36503328947110009</v>
      </c>
      <c r="I621" s="217">
        <v>451911.76</v>
      </c>
      <c r="J621" s="170">
        <v>420000</v>
      </c>
      <c r="K621" s="170">
        <f t="shared" si="290"/>
        <v>-369</v>
      </c>
      <c r="L621" s="168">
        <f t="shared" si="285"/>
        <v>-8.1586490656821212E-4</v>
      </c>
      <c r="M621" s="178">
        <f t="shared" si="300"/>
        <v>31911.760000000009</v>
      </c>
      <c r="N621" s="180">
        <f t="shared" si="301"/>
        <v>7.598038095238098E-2</v>
      </c>
      <c r="O621" s="179">
        <f t="shared" si="296"/>
        <v>2.8728606773144049E-2</v>
      </c>
      <c r="P621" s="178" t="b">
        <f t="shared" si="302"/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si="297"/>
        <v>54817.410000000033</v>
      </c>
      <c r="T621" s="170"/>
      <c r="U621" s="170">
        <f t="shared" si="298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88"/>
        <v>0.64004069197405311</v>
      </c>
      <c r="Y621" s="171">
        <f t="shared" si="287"/>
        <v>0.10239048719509054</v>
      </c>
      <c r="Z621" s="784">
        <f t="shared" si="303"/>
        <v>-0.1669373717539982</v>
      </c>
    </row>
    <row r="622" spans="1:26" ht="20.100000000000001" customHeight="1" x14ac:dyDescent="0.25">
      <c r="A622" s="160">
        <f t="shared" si="295"/>
        <v>967</v>
      </c>
      <c r="B622" s="169">
        <v>43200</v>
      </c>
      <c r="C622" s="211">
        <v>2656.87</v>
      </c>
      <c r="D622" s="168">
        <f t="shared" si="291"/>
        <v>1.6726874741692065E-2</v>
      </c>
      <c r="E622" s="205">
        <f t="shared" si="299"/>
        <v>0.26370788227012415</v>
      </c>
      <c r="F622" s="215">
        <v>7094.3</v>
      </c>
      <c r="G622" s="168">
        <f t="shared" si="292"/>
        <v>2.0712655783745836E-2</v>
      </c>
      <c r="H622" s="199">
        <f t="shared" si="289"/>
        <v>0.3933067541292693</v>
      </c>
      <c r="I622" s="217">
        <v>439634.82</v>
      </c>
      <c r="J622" s="170">
        <v>400000</v>
      </c>
      <c r="K622" s="170">
        <f t="shared" si="290"/>
        <v>7723.0599999999977</v>
      </c>
      <c r="L622" s="168">
        <f t="shared" ref="L622:L629" si="304">K622/I621</f>
        <v>1.7089752211803467E-2</v>
      </c>
      <c r="M622" s="178">
        <f t="shared" si="300"/>
        <v>39634.820000000007</v>
      </c>
      <c r="N622" s="180">
        <f t="shared" si="301"/>
        <v>9.9087050000000024E-2</v>
      </c>
      <c r="O622" s="179">
        <f t="shared" si="296"/>
        <v>3.7426623591003107E-2</v>
      </c>
      <c r="P622" s="178" t="b">
        <f t="shared" si="302"/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si="297"/>
        <v>60126.630000000005</v>
      </c>
      <c r="T622" s="170">
        <v>-37772</v>
      </c>
      <c r="U622" s="170">
        <f t="shared" si="298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88"/>
        <v>0.69283655017163581</v>
      </c>
      <c r="Y622" s="171">
        <f t="shared" si="287"/>
        <v>0.13340345206845966</v>
      </c>
      <c r="Z622" s="784">
        <f t="shared" si="303"/>
        <v>-0.16462083227012414</v>
      </c>
    </row>
    <row r="623" spans="1:26" ht="20.100000000000001" customHeight="1" x14ac:dyDescent="0.25">
      <c r="A623" s="160">
        <f t="shared" si="295"/>
        <v>968</v>
      </c>
      <c r="B623" s="169">
        <v>43201</v>
      </c>
      <c r="C623" s="211">
        <v>2642.19</v>
      </c>
      <c r="D623" s="168">
        <f t="shared" si="291"/>
        <v>-5.5252985656053313E-3</v>
      </c>
      <c r="E623" s="205">
        <f t="shared" si="299"/>
        <v>0.25672551892087286</v>
      </c>
      <c r="F623" s="215">
        <v>7069.02</v>
      </c>
      <c r="G623" s="168">
        <f t="shared" si="292"/>
        <v>-3.56342415742212E-3</v>
      </c>
      <c r="H623" s="199">
        <f t="shared" si="289"/>
        <v>0.38834181118290567</v>
      </c>
      <c r="I623" s="217">
        <v>440157.4</v>
      </c>
      <c r="J623" s="170">
        <v>400000</v>
      </c>
      <c r="K623" s="170">
        <f t="shared" si="290"/>
        <v>522.5800000000163</v>
      </c>
      <c r="L623" s="168">
        <f t="shared" si="304"/>
        <v>1.1886683588893535E-3</v>
      </c>
      <c r="M623" s="178">
        <f t="shared" si="300"/>
        <v>40157.400000000023</v>
      </c>
      <c r="N623" s="180">
        <f t="shared" si="301"/>
        <v>0.10039350000000005</v>
      </c>
      <c r="O623" s="179">
        <f t="shared" si="296"/>
        <v>3.7880915160123985E-2</v>
      </c>
      <c r="P623" s="178" t="b">
        <f t="shared" si="302"/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si="297"/>
        <v>60126.630000000005</v>
      </c>
      <c r="T623" s="170">
        <v>-37722</v>
      </c>
      <c r="U623" s="170">
        <f t="shared" si="298"/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88"/>
        <v>0.67410499565368898</v>
      </c>
      <c r="Y623" s="171">
        <f t="shared" si="287"/>
        <v>0.13513158613696302</v>
      </c>
      <c r="Z623" s="784">
        <f t="shared" si="303"/>
        <v>-0.15633201892087281</v>
      </c>
    </row>
    <row r="624" spans="1:26" ht="20.100000000000001" customHeight="1" x14ac:dyDescent="0.25">
      <c r="A624" s="160">
        <f t="shared" si="295"/>
        <v>969</v>
      </c>
      <c r="B624" s="169">
        <v>43202</v>
      </c>
      <c r="C624" s="211">
        <v>2663.99</v>
      </c>
      <c r="D624" s="168">
        <f t="shared" si="291"/>
        <v>8.2507314008454079E-3</v>
      </c>
      <c r="E624" s="205">
        <f t="shared" si="299"/>
        <v>0.26709442362207708</v>
      </c>
      <c r="F624" s="215">
        <v>7140.24</v>
      </c>
      <c r="G624" s="168">
        <f t="shared" si="292"/>
        <v>1.0074946739434792E-2</v>
      </c>
      <c r="H624" s="199">
        <f t="shared" si="289"/>
        <v>0.40232928098670384</v>
      </c>
      <c r="I624" s="217">
        <v>442188.11</v>
      </c>
      <c r="J624" s="170">
        <v>400000</v>
      </c>
      <c r="K624" s="170">
        <f t="shared" si="290"/>
        <v>2030.7099999999627</v>
      </c>
      <c r="L624" s="168">
        <f t="shared" si="304"/>
        <v>4.6135995896012709E-3</v>
      </c>
      <c r="M624" s="178">
        <f t="shared" si="300"/>
        <v>42188.109999999986</v>
      </c>
      <c r="N624" s="180">
        <f t="shared" ref="N624:N655" si="305">M624/J624</f>
        <v>0.10547027499999996</v>
      </c>
      <c r="O624" s="179">
        <f t="shared" si="296"/>
        <v>3.9755436474458186E-2</v>
      </c>
      <c r="P624" s="178" t="b">
        <f t="shared" si="302"/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si="297"/>
        <v>63886.559999999998</v>
      </c>
      <c r="T624" s="170">
        <v>-37422</v>
      </c>
      <c r="U624" s="170">
        <f t="shared" si="298"/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88"/>
        <v>0.70074919934505686</v>
      </c>
      <c r="Y624" s="171">
        <f t="shared" si="287"/>
        <v>0.14192665225119655</v>
      </c>
      <c r="Z624" s="784">
        <f t="shared" ref="Z624:Z655" si="306">-(E624-N624)</f>
        <v>-0.16162414862207714</v>
      </c>
    </row>
    <row r="625" spans="1:26" ht="20.100000000000001" customHeight="1" x14ac:dyDescent="0.25">
      <c r="A625" s="160">
        <f t="shared" si="295"/>
        <v>970</v>
      </c>
      <c r="B625" s="169">
        <v>43203</v>
      </c>
      <c r="C625" s="211">
        <v>2656.3</v>
      </c>
      <c r="D625" s="168">
        <f t="shared" si="291"/>
        <v>-2.8866474724002721E-3</v>
      </c>
      <c r="E625" s="205">
        <f t="shared" si="299"/>
        <v>0.26343676870683591</v>
      </c>
      <c r="F625" s="215">
        <v>7106.65</v>
      </c>
      <c r="G625" s="168">
        <f t="shared" si="292"/>
        <v>-4.70432366419058E-3</v>
      </c>
      <c r="H625" s="199">
        <f t="shared" si="289"/>
        <v>0.39573227016517076</v>
      </c>
      <c r="I625" s="217">
        <v>443860.83</v>
      </c>
      <c r="J625" s="170">
        <v>400000</v>
      </c>
      <c r="K625" s="170">
        <f t="shared" si="290"/>
        <v>1672.7200000000303</v>
      </c>
      <c r="L625" s="168">
        <f t="shared" si="304"/>
        <v>3.7828244635524696E-3</v>
      </c>
      <c r="M625" s="178">
        <f t="shared" si="300"/>
        <v>43860.830000000016</v>
      </c>
      <c r="N625" s="180">
        <f t="shared" si="305"/>
        <v>0.10965207500000004</v>
      </c>
      <c r="O625" s="179">
        <f t="shared" si="296"/>
        <v>4.1289093189433003E-2</v>
      </c>
      <c r="P625" s="178" t="b">
        <f t="shared" si="302"/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si="297"/>
        <v>63886.540000000037</v>
      </c>
      <c r="T625" s="170">
        <v>-37097</v>
      </c>
      <c r="U625" s="170">
        <f t="shared" si="298"/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88"/>
        <v>0.690921924430831</v>
      </c>
      <c r="Y625" s="171">
        <f t="shared" si="287"/>
        <v>0.14751635300570873</v>
      </c>
      <c r="Z625" s="784">
        <f t="shared" si="306"/>
        <v>-0.15378469370683587</v>
      </c>
    </row>
    <row r="626" spans="1:26" ht="20.100000000000001" customHeight="1" x14ac:dyDescent="0.25">
      <c r="A626" s="160">
        <f t="shared" si="295"/>
        <v>973</v>
      </c>
      <c r="B626" s="169">
        <v>43206</v>
      </c>
      <c r="C626" s="211">
        <v>2677.84</v>
      </c>
      <c r="D626" s="168">
        <f t="shared" si="291"/>
        <v>8.1090238301396531E-3</v>
      </c>
      <c r="E626" s="205">
        <f t="shared" si="299"/>
        <v>0.27368200757215427</v>
      </c>
      <c r="F626" s="215">
        <v>7156.28</v>
      </c>
      <c r="G626" s="168">
        <f t="shared" si="292"/>
        <v>6.9835998677295367E-3</v>
      </c>
      <c r="H626" s="199">
        <f t="shared" si="289"/>
        <v>0.4054795058624821</v>
      </c>
      <c r="I626" s="217">
        <v>447856.68</v>
      </c>
      <c r="J626" s="170">
        <v>400000</v>
      </c>
      <c r="K626" s="170">
        <f t="shared" si="290"/>
        <v>3995.8499999999767</v>
      </c>
      <c r="L626" s="168">
        <f t="shared" si="304"/>
        <v>9.0024839542610161E-3</v>
      </c>
      <c r="M626" s="178">
        <f t="shared" si="300"/>
        <v>47856.679999999993</v>
      </c>
      <c r="N626" s="180">
        <f t="shared" si="305"/>
        <v>0.11964169999999998</v>
      </c>
      <c r="O626" s="179">
        <f t="shared" si="296"/>
        <v>4.4911748124357651E-2</v>
      </c>
      <c r="P626" s="178" t="b">
        <f t="shared" si="302"/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si="297"/>
        <v>70260.339999999967</v>
      </c>
      <c r="T626" s="170">
        <v>-35997</v>
      </c>
      <c r="U626" s="170">
        <f t="shared" si="298"/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88"/>
        <v>0.7157387438230991</v>
      </c>
      <c r="Y626" s="171">
        <f t="shared" si="287"/>
        <v>0.16055834497648935</v>
      </c>
      <c r="Z626" s="784">
        <f t="shared" si="306"/>
        <v>-0.15404030757215431</v>
      </c>
    </row>
    <row r="627" spans="1:26" ht="20.100000000000001" customHeight="1" x14ac:dyDescent="0.25">
      <c r="A627" s="160">
        <f t="shared" si="295"/>
        <v>974</v>
      </c>
      <c r="B627" s="169">
        <v>43207</v>
      </c>
      <c r="C627" s="211">
        <v>2706.39</v>
      </c>
      <c r="D627" s="168">
        <f t="shared" si="291"/>
        <v>1.0661577988229217E-2</v>
      </c>
      <c r="E627" s="205">
        <f t="shared" si="299"/>
        <v>0.28726146762808918</v>
      </c>
      <c r="F627" s="215">
        <v>7281.09</v>
      </c>
      <c r="G627" s="168">
        <f t="shared" si="292"/>
        <v>1.7440625576416853E-2</v>
      </c>
      <c r="H627" s="199">
        <f t="shared" si="289"/>
        <v>0.42999194767955701</v>
      </c>
      <c r="I627" s="217">
        <v>449537.42</v>
      </c>
      <c r="J627" s="170">
        <v>400000</v>
      </c>
      <c r="K627" s="170">
        <f t="shared" si="290"/>
        <v>1680.7399999999907</v>
      </c>
      <c r="L627" s="168">
        <f t="shared" si="304"/>
        <v>3.7528523633944474E-3</v>
      </c>
      <c r="M627" s="178">
        <f t="shared" si="300"/>
        <v>49537.419999999984</v>
      </c>
      <c r="N627" s="180">
        <f t="shared" si="305"/>
        <v>0.12384354999999996</v>
      </c>
      <c r="O627" s="179">
        <f t="shared" si="296"/>
        <v>4.6441331249999988E-2</v>
      </c>
      <c r="P627" s="178" t="b">
        <f t="shared" si="302"/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si="297"/>
        <v>70280.76999999996</v>
      </c>
      <c r="T627" s="170">
        <v>-35847</v>
      </c>
      <c r="U627" s="170">
        <f t="shared" si="298"/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88"/>
        <v>0.75031317153967148</v>
      </c>
      <c r="Y627" s="171">
        <f t="shared" si="287"/>
        <v>0.16615530520555633</v>
      </c>
      <c r="Z627" s="784">
        <f t="shared" si="306"/>
        <v>-0.16341791762808922</v>
      </c>
    </row>
    <row r="628" spans="1:26" ht="20.100000000000001" customHeight="1" x14ac:dyDescent="0.25">
      <c r="A628" s="160">
        <f t="shared" si="295"/>
        <v>975</v>
      </c>
      <c r="B628" s="169">
        <v>43208</v>
      </c>
      <c r="C628" s="211">
        <v>2708.64</v>
      </c>
      <c r="D628" s="168">
        <f t="shared" si="291"/>
        <v>8.3136576768314994E-4</v>
      </c>
      <c r="E628" s="205">
        <f t="shared" si="299"/>
        <v>0.28833165274633271</v>
      </c>
      <c r="F628" s="215">
        <v>7295.23</v>
      </c>
      <c r="G628" s="168">
        <f t="shared" si="292"/>
        <v>1.9420169232902515E-3</v>
      </c>
      <c r="H628" s="199">
        <f t="shared" si="289"/>
        <v>0.4327690162421195</v>
      </c>
      <c r="I628" s="217">
        <v>450989.65</v>
      </c>
      <c r="J628" s="170">
        <v>400000</v>
      </c>
      <c r="K628" s="170">
        <f t="shared" si="290"/>
        <v>1452.2300000000396</v>
      </c>
      <c r="L628" s="168">
        <f t="shared" si="304"/>
        <v>3.230498586747327E-3</v>
      </c>
      <c r="M628" s="178">
        <f t="shared" si="300"/>
        <v>50989.650000000023</v>
      </c>
      <c r="N628" s="180">
        <f t="shared" si="305"/>
        <v>0.12747412500000005</v>
      </c>
      <c r="O628" s="179">
        <f t="shared" si="296"/>
        <v>4.7753768365384634E-2</v>
      </c>
      <c r="P628" s="178" t="b">
        <f t="shared" si="302"/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si="297"/>
        <v>82620.48000000004</v>
      </c>
      <c r="T628" s="170">
        <v>-34922</v>
      </c>
      <c r="U628" s="170">
        <f t="shared" si="298"/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88"/>
        <v>0.75293751728016878</v>
      </c>
      <c r="Y628" s="171">
        <f t="shared" si="287"/>
        <v>0.1709845112838326</v>
      </c>
      <c r="Z628" s="784">
        <f t="shared" si="306"/>
        <v>-0.16085752774633266</v>
      </c>
    </row>
    <row r="629" spans="1:26" ht="20.100000000000001" customHeight="1" x14ac:dyDescent="0.25">
      <c r="A629" s="160">
        <f t="shared" si="295"/>
        <v>976</v>
      </c>
      <c r="B629" s="169">
        <v>43209</v>
      </c>
      <c r="C629" s="211">
        <v>2693.13</v>
      </c>
      <c r="D629" s="168">
        <f t="shared" si="291"/>
        <v>-5.726120857699718E-3</v>
      </c>
      <c r="E629" s="205">
        <f t="shared" si="299"/>
        <v>0.28095450999790722</v>
      </c>
      <c r="F629" s="215">
        <v>7238.05</v>
      </c>
      <c r="G629" s="168">
        <f t="shared" si="292"/>
        <v>-7.8379982536533298E-3</v>
      </c>
      <c r="H629" s="199">
        <f t="shared" si="289"/>
        <v>0.42153897519492517</v>
      </c>
      <c r="I629" s="217">
        <v>446018.81</v>
      </c>
      <c r="J629" s="170">
        <v>400000</v>
      </c>
      <c r="K629" s="170">
        <f t="shared" si="290"/>
        <v>-4970.8400000000256</v>
      </c>
      <c r="L629" s="168">
        <f t="shared" si="304"/>
        <v>-1.1022071127352978E-2</v>
      </c>
      <c r="M629" s="178">
        <f t="shared" si="300"/>
        <v>46018.81</v>
      </c>
      <c r="N629" s="180">
        <f t="shared" si="305"/>
        <v>0.115047025</v>
      </c>
      <c r="O629" s="179">
        <f t="shared" si="296"/>
        <v>4.3054227337346311E-2</v>
      </c>
      <c r="P629" s="178" t="b">
        <f t="shared" si="302"/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si="297"/>
        <v>64497.479999999981</v>
      </c>
      <c r="T629" s="170">
        <v>-35722</v>
      </c>
      <c r="U629" s="170">
        <f t="shared" si="298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88"/>
        <v>0.73323443093213536</v>
      </c>
      <c r="Y629" s="171">
        <f t="shared" si="287"/>
        <v>0.15422768451315264</v>
      </c>
      <c r="Z629" s="784">
        <f t="shared" si="306"/>
        <v>-0.16590748499790722</v>
      </c>
    </row>
    <row r="630" spans="1:26" ht="20.100000000000001" customHeight="1" x14ac:dyDescent="0.25">
      <c r="A630" s="160">
        <f t="shared" si="295"/>
        <v>977</v>
      </c>
      <c r="B630" s="169">
        <v>43210</v>
      </c>
      <c r="C630" s="211">
        <v>2670.14</v>
      </c>
      <c r="D630" s="168">
        <f t="shared" ref="D630:D635" si="307">(C630-C629)/C629</f>
        <v>-8.536535555283345E-3</v>
      </c>
      <c r="E630" s="205">
        <f t="shared" si="299"/>
        <v>0.2700195962786095</v>
      </c>
      <c r="F630" s="215">
        <v>7146.13</v>
      </c>
      <c r="G630" s="168">
        <f t="shared" ref="G630:G635" si="308">(F630-F629)/F629</f>
        <v>-1.2699553056417139E-2</v>
      </c>
      <c r="H630" s="199">
        <f t="shared" ref="H630:H635" si="309">(F630-F$2)/F$2</f>
        <v>0.40348606555767236</v>
      </c>
      <c r="I630" s="217">
        <v>445087.3</v>
      </c>
      <c r="J630" s="170">
        <v>400000</v>
      </c>
      <c r="K630" s="170">
        <f t="shared" ref="K630:K635" si="310">I630-I629-J630+J629</f>
        <v>-931.51000000000931</v>
      </c>
      <c r="L630" s="168">
        <f t="shared" ref="L630:L635" si="311">K630/I629</f>
        <v>-2.0884993617197654E-3</v>
      </c>
      <c r="M630" s="178">
        <f t="shared" si="300"/>
        <v>45087.299999999988</v>
      </c>
      <c r="N630" s="180">
        <f t="shared" si="305"/>
        <v>0.11271824999999996</v>
      </c>
      <c r="O630" s="179">
        <f t="shared" si="296"/>
        <v>4.2139550473387903E-2</v>
      </c>
      <c r="P630" s="178" t="b">
        <f t="shared" si="302"/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si="297"/>
        <v>77881.929999999993</v>
      </c>
      <c r="T630" s="170">
        <v>-35573</v>
      </c>
      <c r="U630" s="170">
        <f t="shared" si="298"/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88"/>
        <v>0.70398364144780734</v>
      </c>
      <c r="Y630" s="171">
        <f t="shared" si="287"/>
        <v>0.15106902152568102</v>
      </c>
      <c r="Z630" s="784">
        <f t="shared" si="306"/>
        <v>-0.15730134627860953</v>
      </c>
    </row>
    <row r="631" spans="1:26" ht="20.100000000000001" customHeight="1" x14ac:dyDescent="0.25">
      <c r="A631" s="160">
        <f t="shared" si="295"/>
        <v>980</v>
      </c>
      <c r="B631" s="169">
        <v>43213</v>
      </c>
      <c r="C631" s="211">
        <v>2670.29</v>
      </c>
      <c r="D631" s="168">
        <f t="shared" si="307"/>
        <v>5.6176829679376721E-5</v>
      </c>
      <c r="E631" s="205">
        <f t="shared" si="299"/>
        <v>0.27009094195315914</v>
      </c>
      <c r="F631" s="215">
        <v>7128.6</v>
      </c>
      <c r="G631" s="168">
        <f t="shared" si="308"/>
        <v>-2.4530760005765E-3</v>
      </c>
      <c r="H631" s="199">
        <f t="shared" si="309"/>
        <v>0.40004320757310929</v>
      </c>
      <c r="I631" s="217">
        <v>449342.79</v>
      </c>
      <c r="J631" s="170">
        <v>400000</v>
      </c>
      <c r="K631" s="170">
        <f t="shared" si="310"/>
        <v>4255.4899999999907</v>
      </c>
      <c r="L631" s="168">
        <f t="shared" si="311"/>
        <v>9.5610231970222267E-3</v>
      </c>
      <c r="M631" s="178">
        <f t="shared" si="300"/>
        <v>49342.789999999979</v>
      </c>
      <c r="N631" s="180">
        <f t="shared" si="305"/>
        <v>0.12335697499999995</v>
      </c>
      <c r="O631" s="179">
        <f t="shared" si="296"/>
        <v>4.5975648080357125E-2</v>
      </c>
      <c r="P631" s="178" t="b">
        <f t="shared" si="302"/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si="297"/>
        <v>92634.539999999979</v>
      </c>
      <c r="T631" s="170">
        <v>-33898</v>
      </c>
      <c r="U631" s="170">
        <f t="shared" si="298"/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88"/>
        <v>0.70257271158312462</v>
      </c>
      <c r="Y631" s="171">
        <f t="shared" ref="Y631:Y636" si="312">O631/W631</f>
        <v>0.16491791754072008</v>
      </c>
      <c r="Z631" s="784">
        <f t="shared" si="306"/>
        <v>-0.14673396695315918</v>
      </c>
    </row>
    <row r="632" spans="1:26" ht="20.100000000000001" customHeight="1" x14ac:dyDescent="0.25">
      <c r="A632" s="160">
        <f t="shared" si="295"/>
        <v>981</v>
      </c>
      <c r="B632" s="169">
        <v>43214</v>
      </c>
      <c r="C632" s="211">
        <v>2634.56</v>
      </c>
      <c r="D632" s="168">
        <f t="shared" si="307"/>
        <v>-1.3380569151665182E-2</v>
      </c>
      <c r="E632" s="205">
        <f t="shared" si="299"/>
        <v>0.25309640227545133</v>
      </c>
      <c r="F632" s="215">
        <v>7007.35</v>
      </c>
      <c r="G632" s="168">
        <f t="shared" si="308"/>
        <v>-1.70089498639284E-2</v>
      </c>
      <c r="H632" s="199">
        <f t="shared" si="309"/>
        <v>0.3762299428481648</v>
      </c>
      <c r="I632" s="217">
        <v>448523.78</v>
      </c>
      <c r="J632" s="170">
        <v>400000</v>
      </c>
      <c r="K632" s="170">
        <f t="shared" si="310"/>
        <v>-819.00999999995111</v>
      </c>
      <c r="L632" s="168">
        <f t="shared" si="311"/>
        <v>-1.8226841917279926E-3</v>
      </c>
      <c r="M632" s="178">
        <f t="shared" si="300"/>
        <v>48523.780000000028</v>
      </c>
      <c r="N632" s="180">
        <f t="shared" si="305"/>
        <v>0.12130945000000007</v>
      </c>
      <c r="O632" s="179">
        <f t="shared" si="296"/>
        <v>4.5166438952599412E-2</v>
      </c>
      <c r="P632" s="178" t="b">
        <f t="shared" si="302"/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si="297"/>
        <v>108790.45000000001</v>
      </c>
      <c r="T632" s="170">
        <v>-32782</v>
      </c>
      <c r="U632" s="170">
        <f t="shared" si="298"/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88"/>
        <v>0.65699805424017199</v>
      </c>
      <c r="Y632" s="171">
        <f t="shared" si="312"/>
        <v>0.16214185334253745</v>
      </c>
      <c r="Z632" s="784">
        <f t="shared" si="306"/>
        <v>-0.13178695227545126</v>
      </c>
    </row>
    <row r="633" spans="1:26" ht="20.100000000000001" customHeight="1" x14ac:dyDescent="0.25">
      <c r="A633" s="160">
        <f t="shared" si="295"/>
        <v>982</v>
      </c>
      <c r="B633" s="169">
        <v>43215</v>
      </c>
      <c r="C633" s="211">
        <v>2639.4</v>
      </c>
      <c r="D633" s="168">
        <f t="shared" si="307"/>
        <v>1.8371189116968851E-3</v>
      </c>
      <c r="E633" s="205">
        <f t="shared" si="299"/>
        <v>0.25539848937425086</v>
      </c>
      <c r="F633" s="215">
        <v>7003.73</v>
      </c>
      <c r="G633" s="168">
        <f t="shared" si="308"/>
        <v>-5.1660042669494173E-4</v>
      </c>
      <c r="H633" s="199">
        <f t="shared" si="309"/>
        <v>0.37551898187245908</v>
      </c>
      <c r="I633" s="217">
        <v>451776.44</v>
      </c>
      <c r="J633" s="170">
        <v>400000</v>
      </c>
      <c r="K633" s="170">
        <f t="shared" si="310"/>
        <v>3252.6599999999744</v>
      </c>
      <c r="L633" s="168">
        <f t="shared" si="311"/>
        <v>7.2519231867705525E-3</v>
      </c>
      <c r="M633" s="178">
        <f t="shared" si="300"/>
        <v>51776.44</v>
      </c>
      <c r="N633" s="180">
        <f t="shared" si="305"/>
        <v>0.1294411</v>
      </c>
      <c r="O633" s="179">
        <f t="shared" si="296"/>
        <v>4.8144971257637476E-2</v>
      </c>
      <c r="P633" s="178" t="b">
        <f t="shared" si="302"/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si="297"/>
        <v>108790.45000000001</v>
      </c>
      <c r="T633" s="170">
        <v>-32687</v>
      </c>
      <c r="U633" s="170">
        <f t="shared" si="298"/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88"/>
        <v>0.66281171352818635</v>
      </c>
      <c r="Y633" s="171">
        <f t="shared" si="312"/>
        <v>0.17295158753869727</v>
      </c>
      <c r="Z633" s="784">
        <f t="shared" si="306"/>
        <v>-0.12595738937425086</v>
      </c>
    </row>
    <row r="634" spans="1:26" ht="20.100000000000001" customHeight="1" x14ac:dyDescent="0.25">
      <c r="A634" s="160">
        <f t="shared" si="295"/>
        <v>983</v>
      </c>
      <c r="B634" s="169">
        <v>43216</v>
      </c>
      <c r="C634" s="211">
        <v>2666.94</v>
      </c>
      <c r="D634" s="168">
        <f t="shared" si="307"/>
        <v>1.0434189588542836E-2</v>
      </c>
      <c r="E634" s="205">
        <f t="shared" si="299"/>
        <v>0.26849755522155211</v>
      </c>
      <c r="F634" s="215">
        <v>7118.67</v>
      </c>
      <c r="G634" s="168">
        <f t="shared" si="308"/>
        <v>1.6411255145472557E-2</v>
      </c>
      <c r="H634" s="199">
        <f t="shared" si="309"/>
        <v>0.39809297484140865</v>
      </c>
      <c r="I634" s="217">
        <v>455463.88</v>
      </c>
      <c r="J634" s="170">
        <v>400000</v>
      </c>
      <c r="K634" s="170">
        <f t="shared" si="310"/>
        <v>3687.4400000000023</v>
      </c>
      <c r="L634" s="168">
        <f t="shared" si="311"/>
        <v>8.1620900815456473E-3</v>
      </c>
      <c r="M634" s="178">
        <f t="shared" si="300"/>
        <v>55463.880000000005</v>
      </c>
      <c r="N634" s="180">
        <f t="shared" si="305"/>
        <v>0.13865970000000002</v>
      </c>
      <c r="O634" s="179">
        <f t="shared" si="296"/>
        <v>5.1521317828077326E-2</v>
      </c>
      <c r="P634" s="178" t="b">
        <f t="shared" si="302"/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si="297"/>
        <v>108711.34999999998</v>
      </c>
      <c r="T634" s="170">
        <v>-32492</v>
      </c>
      <c r="U634" s="170">
        <f t="shared" si="298"/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88"/>
        <v>0.69596915831272854</v>
      </c>
      <c r="Y634" s="171">
        <f t="shared" si="312"/>
        <v>0.18519955861424656</v>
      </c>
      <c r="Z634" s="784">
        <f t="shared" si="306"/>
        <v>-0.12983785522155208</v>
      </c>
    </row>
    <row r="635" spans="1:26" ht="20.100000000000001" customHeight="1" x14ac:dyDescent="0.25">
      <c r="A635" s="160">
        <f t="shared" si="295"/>
        <v>984</v>
      </c>
      <c r="B635" s="169">
        <v>43217</v>
      </c>
      <c r="C635" s="211">
        <v>2669.91</v>
      </c>
      <c r="D635" s="168">
        <f t="shared" si="307"/>
        <v>1.1136358523250616E-3</v>
      </c>
      <c r="E635" s="205">
        <f t="shared" si="299"/>
        <v>0.26991019957763351</v>
      </c>
      <c r="F635" s="215">
        <v>7119.79</v>
      </c>
      <c r="G635" s="168">
        <f t="shared" si="308"/>
        <v>1.5733276019254874E-4</v>
      </c>
      <c r="H635" s="199">
        <f t="shared" si="309"/>
        <v>0.39831294066814626</v>
      </c>
      <c r="I635" s="217">
        <f>455928.5</f>
        <v>455928.5</v>
      </c>
      <c r="J635" s="170">
        <v>400000</v>
      </c>
      <c r="K635" s="170">
        <f t="shared" si="310"/>
        <v>464.61999999999534</v>
      </c>
      <c r="L635" s="168">
        <f t="shared" si="311"/>
        <v>1.0201028454770011E-3</v>
      </c>
      <c r="M635" s="178">
        <f t="shared" si="300"/>
        <v>55928.5</v>
      </c>
      <c r="N635" s="180">
        <f t="shared" si="305"/>
        <v>0.13982125000000001</v>
      </c>
      <c r="O635" s="179">
        <f t="shared" si="296"/>
        <v>5.1900113376524393E-2</v>
      </c>
      <c r="P635" s="178" t="b">
        <f t="shared" si="302"/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si="297"/>
        <v>112340.52000000002</v>
      </c>
      <c r="T635" s="170">
        <v>-32412</v>
      </c>
      <c r="U635" s="170">
        <f t="shared" si="298"/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88"/>
        <v>0.69947015660285927</v>
      </c>
      <c r="Y635" s="171">
        <f t="shared" si="312"/>
        <v>0.18670884962840681</v>
      </c>
      <c r="Z635" s="784">
        <f t="shared" si="306"/>
        <v>-0.13008894957763351</v>
      </c>
    </row>
    <row r="636" spans="1:26" ht="20.100000000000001" customHeight="1" x14ac:dyDescent="0.25">
      <c r="A636" s="160">
        <f t="shared" si="295"/>
        <v>987</v>
      </c>
      <c r="B636" s="169">
        <v>43220</v>
      </c>
      <c r="C636" s="211">
        <v>2648.05</v>
      </c>
      <c r="D636" s="168">
        <f t="shared" ref="D636:D660" si="313">(C636-C635)/C635</f>
        <v>-8.1875419021613747E-3</v>
      </c>
      <c r="E636" s="205">
        <f t="shared" si="299"/>
        <v>0.2595127566066095</v>
      </c>
      <c r="F636" s="215">
        <v>7066.27</v>
      </c>
      <c r="G636" s="168">
        <f t="shared" ref="G636:G667" si="314">(F636-F635)/F635</f>
        <v>-7.5170756440849414E-3</v>
      </c>
      <c r="H636" s="199">
        <f t="shared" ref="H636:H667" si="315">(F636-F$2)/F$2</f>
        <v>0.38780171651904094</v>
      </c>
      <c r="I636" s="462">
        <v>453815.46</v>
      </c>
      <c r="J636" s="170">
        <v>400000</v>
      </c>
      <c r="K636" s="170">
        <f t="shared" ref="K636:K667" si="316">I636-I635-J636+J635</f>
        <v>-2113.039999999979</v>
      </c>
      <c r="L636" s="168">
        <f t="shared" ref="L636:L667" si="317">K636/I635</f>
        <v>-4.6345863441306671E-3</v>
      </c>
      <c r="M636" s="462">
        <f t="shared" si="300"/>
        <v>53815.460000000021</v>
      </c>
      <c r="N636" s="180">
        <f t="shared" si="305"/>
        <v>0.13453865000000007</v>
      </c>
      <c r="O636" s="179">
        <f t="shared" si="296"/>
        <v>4.978747914133741E-2</v>
      </c>
      <c r="P636" s="178" t="b">
        <f t="shared" si="302"/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si="297"/>
        <v>115632.05000000005</v>
      </c>
      <c r="T636" s="170">
        <v>-32877</v>
      </c>
      <c r="U636" s="170">
        <f t="shared" si="298"/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88"/>
        <v>0.67052971564394903</v>
      </c>
      <c r="Y636" s="171">
        <f t="shared" si="312"/>
        <v>0.17923795099523673</v>
      </c>
      <c r="Z636" s="784">
        <f t="shared" si="306"/>
        <v>-0.12497410660660943</v>
      </c>
    </row>
    <row r="637" spans="1:26" ht="20.100000000000001" customHeight="1" x14ac:dyDescent="0.25">
      <c r="A637" s="160">
        <f t="shared" si="295"/>
        <v>988</v>
      </c>
      <c r="B637" s="169">
        <v>43221</v>
      </c>
      <c r="C637" s="211">
        <v>2654.8</v>
      </c>
      <c r="D637" s="168">
        <f t="shared" si="313"/>
        <v>2.5490455240648776E-3</v>
      </c>
      <c r="E637" s="205">
        <f t="shared" si="299"/>
        <v>0.26272331196134019</v>
      </c>
      <c r="F637" s="215">
        <v>7130.7</v>
      </c>
      <c r="G637" s="168">
        <f t="shared" si="314"/>
        <v>9.1179646404679383E-3</v>
      </c>
      <c r="H637" s="199">
        <f t="shared" si="315"/>
        <v>0.40045564349824225</v>
      </c>
      <c r="I637" s="822">
        <v>452706.55</v>
      </c>
      <c r="J637" s="170">
        <v>400000</v>
      </c>
      <c r="K637" s="170">
        <f t="shared" si="316"/>
        <v>-1108.9100000000326</v>
      </c>
      <c r="L637" s="168">
        <f t="shared" si="317"/>
        <v>-2.4435262738735971E-3</v>
      </c>
      <c r="M637" s="178">
        <f t="shared" si="300"/>
        <v>52706.549999999988</v>
      </c>
      <c r="N637" s="180">
        <f t="shared" si="305"/>
        <v>0.13176637499999996</v>
      </c>
      <c r="O637" s="179">
        <f t="shared" si="296"/>
        <v>4.8712215049342096E-2</v>
      </c>
      <c r="P637" s="178" t="b">
        <f t="shared" si="302"/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si="297"/>
        <v>103735.95999999996</v>
      </c>
      <c r="T637" s="170">
        <v>-33575</v>
      </c>
      <c r="U637" s="170">
        <f t="shared" si="298"/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88"/>
        <v>0.67864329489886477</v>
      </c>
      <c r="Y637" s="171">
        <f t="shared" ref="Y637:Y663" si="318">O637/W637</f>
        <v>0.1755013699897579</v>
      </c>
      <c r="Z637" s="784">
        <f t="shared" si="306"/>
        <v>-0.13095693696134023</v>
      </c>
    </row>
    <row r="638" spans="1:26" ht="20.100000000000001" customHeight="1" x14ac:dyDescent="0.25">
      <c r="A638" s="160">
        <f t="shared" si="295"/>
        <v>989</v>
      </c>
      <c r="B638" s="169">
        <v>43222</v>
      </c>
      <c r="C638" s="211">
        <v>2635.67</v>
      </c>
      <c r="D638" s="168">
        <f t="shared" si="313"/>
        <v>-7.2058158806690177E-3</v>
      </c>
      <c r="E638" s="205">
        <f t="shared" si="299"/>
        <v>0.25362436026711821</v>
      </c>
      <c r="F638" s="215">
        <v>7100.89</v>
      </c>
      <c r="G638" s="168">
        <f t="shared" si="314"/>
        <v>-4.1805152369331893E-3</v>
      </c>
      <c r="H638" s="199">
        <f t="shared" si="315"/>
        <v>0.3946010173419488</v>
      </c>
      <c r="I638" s="822">
        <v>450912.32</v>
      </c>
      <c r="J638" s="170">
        <v>400000</v>
      </c>
      <c r="K638" s="170">
        <f t="shared" si="316"/>
        <v>-1794.2299999999814</v>
      </c>
      <c r="L638" s="168">
        <f t="shared" si="317"/>
        <v>-3.9633400488682602E-3</v>
      </c>
      <c r="M638" s="178">
        <f t="shared" si="300"/>
        <v>50912.320000000007</v>
      </c>
      <c r="N638" s="180">
        <f t="shared" si="305"/>
        <v>0.12728080000000003</v>
      </c>
      <c r="O638" s="179">
        <f t="shared" si="296"/>
        <v>4.7006382406471196E-2</v>
      </c>
      <c r="P638" s="178" t="b">
        <f t="shared" si="302"/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si="297"/>
        <v>95918.950000000012</v>
      </c>
      <c r="T638" s="170">
        <v>-33995</v>
      </c>
      <c r="U638" s="170">
        <f t="shared" si="298"/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88"/>
        <v>0.65462568707262703</v>
      </c>
      <c r="Y638" s="171">
        <f t="shared" si="318"/>
        <v>0.16948022561261805</v>
      </c>
      <c r="Z638" s="784">
        <f t="shared" si="306"/>
        <v>-0.12634356026711818</v>
      </c>
    </row>
    <row r="639" spans="1:26" ht="20.100000000000001" customHeight="1" x14ac:dyDescent="0.25">
      <c r="A639" s="160">
        <f t="shared" si="295"/>
        <v>990</v>
      </c>
      <c r="B639" s="169">
        <v>43223</v>
      </c>
      <c r="C639" s="211">
        <v>2629.373</v>
      </c>
      <c r="D639" s="168">
        <f t="shared" si="313"/>
        <v>-2.3891458338866495E-3</v>
      </c>
      <c r="E639" s="205">
        <f t="shared" si="299"/>
        <v>0.25062926884952719</v>
      </c>
      <c r="F639" s="215">
        <v>7088.15</v>
      </c>
      <c r="G639" s="168">
        <f t="shared" si="314"/>
        <v>-1.7941412977810797E-3</v>
      </c>
      <c r="H639" s="199">
        <f t="shared" si="315"/>
        <v>0.39209890606280806</v>
      </c>
      <c r="I639" s="822">
        <v>452277.59</v>
      </c>
      <c r="J639" s="170">
        <v>400000</v>
      </c>
      <c r="K639" s="170">
        <f t="shared" si="316"/>
        <v>1365.2700000000186</v>
      </c>
      <c r="L639" s="168">
        <f t="shared" si="317"/>
        <v>3.0277948493401523E-3</v>
      </c>
      <c r="M639" s="178">
        <f t="shared" si="300"/>
        <v>52277.590000000026</v>
      </c>
      <c r="N639" s="180">
        <f t="shared" si="305"/>
        <v>0.13069397500000007</v>
      </c>
      <c r="O639" s="179">
        <f t="shared" si="296"/>
        <v>4.8218155928030325E-2</v>
      </c>
      <c r="P639" s="178" t="b">
        <f t="shared" si="302"/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si="297"/>
        <v>104298.82</v>
      </c>
      <c r="T639" s="170">
        <v>-35355</v>
      </c>
      <c r="U639" s="170">
        <f t="shared" si="298"/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9">E639/(A639/365.25)/V639</f>
        <v>0.6467017846977352</v>
      </c>
      <c r="Y639" s="171">
        <f t="shared" si="318"/>
        <v>0.17398328349008801</v>
      </c>
      <c r="Z639" s="784">
        <f t="shared" si="306"/>
        <v>-0.11993529384952711</v>
      </c>
    </row>
    <row r="640" spans="1:26" ht="20.100000000000001" customHeight="1" x14ac:dyDescent="0.25">
      <c r="A640" s="160">
        <f t="shared" si="295"/>
        <v>991</v>
      </c>
      <c r="B640" s="169">
        <v>43224</v>
      </c>
      <c r="C640" s="211">
        <v>2663.42</v>
      </c>
      <c r="D640" s="168">
        <f t="shared" si="313"/>
        <v>1.2948714389324004E-2</v>
      </c>
      <c r="E640" s="205">
        <f t="shared" si="299"/>
        <v>0.26682331005878884</v>
      </c>
      <c r="F640" s="215">
        <v>7209.61</v>
      </c>
      <c r="G640" s="168">
        <f t="shared" si="314"/>
        <v>1.7135641881167871E-2</v>
      </c>
      <c r="H640" s="199">
        <f t="shared" si="315"/>
        <v>0.4159534143802659</v>
      </c>
      <c r="I640" s="822">
        <v>457844.7</v>
      </c>
      <c r="J640" s="170">
        <v>400000</v>
      </c>
      <c r="K640" s="170">
        <f t="shared" si="316"/>
        <v>5567.109999999986</v>
      </c>
      <c r="L640" s="168">
        <f t="shared" si="317"/>
        <v>1.2309055595701715E-2</v>
      </c>
      <c r="M640" s="178">
        <f t="shared" si="300"/>
        <v>57844.700000000012</v>
      </c>
      <c r="N640" s="180">
        <f t="shared" si="305"/>
        <v>0.14461175000000004</v>
      </c>
      <c r="O640" s="179">
        <f t="shared" si="296"/>
        <v>5.3299133892532803E-2</v>
      </c>
      <c r="P640" s="178" t="b">
        <f t="shared" si="302"/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si="297"/>
        <v>116337.69</v>
      </c>
      <c r="T640" s="170">
        <v>-34815</v>
      </c>
      <c r="U640" s="170">
        <f t="shared" si="298"/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9"/>
        <v>0.68728550691537571</v>
      </c>
      <c r="Y640" s="171">
        <f t="shared" si="318"/>
        <v>0.19239918891500063</v>
      </c>
      <c r="Z640" s="784">
        <f t="shared" si="306"/>
        <v>-0.1222115600587888</v>
      </c>
    </row>
    <row r="641" spans="1:26" ht="20.100000000000001" customHeight="1" x14ac:dyDescent="0.25">
      <c r="A641" s="160">
        <f t="shared" si="295"/>
        <v>994</v>
      </c>
      <c r="B641" s="169">
        <v>43227</v>
      </c>
      <c r="C641" s="211">
        <v>2672.63</v>
      </c>
      <c r="D641" s="168">
        <f t="shared" si="313"/>
        <v>3.4579600663808322E-3</v>
      </c>
      <c r="E641" s="205">
        <f t="shared" si="299"/>
        <v>0.2712039344761325</v>
      </c>
      <c r="F641" s="215">
        <v>7265.21</v>
      </c>
      <c r="G641" s="168">
        <f t="shared" si="314"/>
        <v>7.711928939290803E-3</v>
      </c>
      <c r="H641" s="199">
        <f t="shared" si="315"/>
        <v>0.42687314649331271</v>
      </c>
      <c r="I641" s="822">
        <v>456957.86</v>
      </c>
      <c r="J641" s="170">
        <v>400000</v>
      </c>
      <c r="K641" s="170">
        <f t="shared" si="316"/>
        <v>-886.84000000002561</v>
      </c>
      <c r="L641" s="168">
        <f t="shared" si="317"/>
        <v>-1.9369886776018715E-3</v>
      </c>
      <c r="M641" s="178">
        <f t="shared" si="300"/>
        <v>56957.859999999986</v>
      </c>
      <c r="N641" s="180">
        <f t="shared" si="305"/>
        <v>0.14239464999999996</v>
      </c>
      <c r="O641" s="179">
        <f t="shared" si="296"/>
        <v>5.2323587437122718E-2</v>
      </c>
      <c r="P641" s="178" t="b">
        <f t="shared" si="302"/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si="297"/>
        <v>130234.57</v>
      </c>
      <c r="T641" s="170">
        <v>-35135</v>
      </c>
      <c r="U641" s="170">
        <f t="shared" si="298"/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9"/>
        <v>0.69694485698870945</v>
      </c>
      <c r="Y641" s="171">
        <f t="shared" si="318"/>
        <v>0.18902284291543675</v>
      </c>
      <c r="Z641" s="784">
        <f t="shared" si="306"/>
        <v>-0.12880928447613255</v>
      </c>
    </row>
    <row r="642" spans="1:26" ht="20.100000000000001" customHeight="1" x14ac:dyDescent="0.25">
      <c r="A642" s="160">
        <f t="shared" si="295"/>
        <v>995</v>
      </c>
      <c r="B642" s="169">
        <v>43228</v>
      </c>
      <c r="C642" s="211">
        <v>2671.92</v>
      </c>
      <c r="D642" s="168">
        <f t="shared" si="313"/>
        <v>-2.6565592693340878E-4</v>
      </c>
      <c r="E642" s="205">
        <f t="shared" si="299"/>
        <v>0.27086623161659784</v>
      </c>
      <c r="F642" s="215">
        <v>7266.9</v>
      </c>
      <c r="G642" s="168">
        <f t="shared" si="314"/>
        <v>2.3261543713114967E-4</v>
      </c>
      <c r="H642" s="199">
        <f t="shared" si="315"/>
        <v>0.42720505921401497</v>
      </c>
      <c r="I642" s="822">
        <v>457631.51</v>
      </c>
      <c r="J642" s="170">
        <v>400000</v>
      </c>
      <c r="K642" s="170">
        <f t="shared" si="316"/>
        <v>673.65000000002328</v>
      </c>
      <c r="L642" s="168">
        <f t="shared" si="317"/>
        <v>1.4742059585100982E-3</v>
      </c>
      <c r="M642" s="178">
        <f t="shared" si="300"/>
        <v>57631.510000000009</v>
      </c>
      <c r="N642" s="180">
        <f t="shared" si="305"/>
        <v>0.14407877500000002</v>
      </c>
      <c r="O642" s="179">
        <f t="shared" si="296"/>
        <v>5.2889218662060311E-2</v>
      </c>
      <c r="P642" s="178" t="b">
        <f t="shared" si="302"/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si="297"/>
        <v>108806.58000000002</v>
      </c>
      <c r="T642" s="170">
        <v>-34915</v>
      </c>
      <c r="U642" s="170">
        <f t="shared" si="298"/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9"/>
        <v>0.69591908069554453</v>
      </c>
      <c r="Y642" s="171">
        <f t="shared" si="318"/>
        <v>0.19121548651720474</v>
      </c>
      <c r="Z642" s="784">
        <f t="shared" si="306"/>
        <v>-0.12678745661659782</v>
      </c>
    </row>
    <row r="643" spans="1:26" ht="20.100000000000001" customHeight="1" x14ac:dyDescent="0.25">
      <c r="A643" s="160">
        <f t="shared" ref="A643:A674" si="320">B643-$B$2</f>
        <v>996</v>
      </c>
      <c r="B643" s="169">
        <v>43229</v>
      </c>
      <c r="C643" s="211">
        <v>2697.79</v>
      </c>
      <c r="D643" s="168">
        <f t="shared" si="313"/>
        <v>9.6821761130572361E-3</v>
      </c>
      <c r="E643" s="205">
        <f t="shared" si="299"/>
        <v>0.28317098228724713</v>
      </c>
      <c r="F643" s="215">
        <v>7339.9</v>
      </c>
      <c r="G643" s="168">
        <f t="shared" si="314"/>
        <v>1.0045548996133153E-2</v>
      </c>
      <c r="H643" s="199">
        <f t="shared" si="315"/>
        <v>0.44154211756387846</v>
      </c>
      <c r="I643" s="822">
        <v>461579.02</v>
      </c>
      <c r="J643" s="170">
        <v>400000</v>
      </c>
      <c r="K643" s="170">
        <f t="shared" si="316"/>
        <v>3947.5100000000093</v>
      </c>
      <c r="L643" s="168">
        <f t="shared" si="317"/>
        <v>8.6259575963202554E-3</v>
      </c>
      <c r="M643" s="178">
        <f t="shared" si="300"/>
        <v>61579.020000000019</v>
      </c>
      <c r="N643" s="180">
        <f t="shared" si="305"/>
        <v>0.15394755000000004</v>
      </c>
      <c r="O643" s="179">
        <f t="shared" ref="O643:O674" si="321">N643/(A643/365.25)</f>
        <v>5.6455163290662663E-2</v>
      </c>
      <c r="P643" s="178" t="b">
        <f t="shared" si="302"/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si="297"/>
        <v>109945.47000000003</v>
      </c>
      <c r="T643" s="170">
        <v>-34375</v>
      </c>
      <c r="U643" s="170">
        <f t="shared" si="298"/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9"/>
        <v>0.72676921769310943</v>
      </c>
      <c r="Y643" s="171">
        <f t="shared" si="318"/>
        <v>0.20423316666455604</v>
      </c>
      <c r="Z643" s="784">
        <f t="shared" si="306"/>
        <v>-0.12922343228724709</v>
      </c>
    </row>
    <row r="644" spans="1:26" ht="20.100000000000001" customHeight="1" x14ac:dyDescent="0.25">
      <c r="A644" s="160">
        <f t="shared" si="320"/>
        <v>997</v>
      </c>
      <c r="B644" s="169">
        <v>43230</v>
      </c>
      <c r="C644" s="211">
        <v>2723.07</v>
      </c>
      <c r="D644" s="168">
        <f t="shared" si="313"/>
        <v>9.3706329996034541E-3</v>
      </c>
      <c r="E644" s="205">
        <f t="shared" si="299"/>
        <v>0.29519510663800158</v>
      </c>
      <c r="F644" s="215">
        <v>7404.97</v>
      </c>
      <c r="G644" s="168">
        <f t="shared" si="314"/>
        <v>8.8652433956866745E-3</v>
      </c>
      <c r="H644" s="199">
        <f t="shared" si="315"/>
        <v>0.45432173930121583</v>
      </c>
      <c r="I644" s="822">
        <v>464024.89</v>
      </c>
      <c r="J644" s="170">
        <v>400000</v>
      </c>
      <c r="K644" s="170">
        <f t="shared" si="316"/>
        <v>2445.8699999999953</v>
      </c>
      <c r="L644" s="168">
        <f t="shared" si="317"/>
        <v>5.2989193486306964E-3</v>
      </c>
      <c r="M644" s="178">
        <f t="shared" si="300"/>
        <v>64024.890000000014</v>
      </c>
      <c r="N644" s="180">
        <f t="shared" si="305"/>
        <v>0.16006222500000003</v>
      </c>
      <c r="O644" s="179">
        <f t="shared" si="321"/>
        <v>5.8638643612086268E-2</v>
      </c>
      <c r="P644" s="178" t="b">
        <f t="shared" si="302"/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si="297"/>
        <v>116798.47000000003</v>
      </c>
      <c r="T644" s="170">
        <v>-34375</v>
      </c>
      <c r="U644" s="170">
        <f t="shared" si="298"/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9"/>
        <v>0.75687840094146508</v>
      </c>
      <c r="Y644" s="171">
        <f t="shared" si="318"/>
        <v>0.21228557939468987</v>
      </c>
      <c r="Z644" s="784">
        <f t="shared" si="306"/>
        <v>-0.13513288163800155</v>
      </c>
    </row>
    <row r="645" spans="1:26" ht="20.100000000000001" customHeight="1" x14ac:dyDescent="0.25">
      <c r="A645" s="160">
        <f t="shared" si="320"/>
        <v>998</v>
      </c>
      <c r="B645" s="169">
        <v>43231</v>
      </c>
      <c r="C645" s="211">
        <v>2727.72</v>
      </c>
      <c r="D645" s="168">
        <f t="shared" si="313"/>
        <v>1.7076314600798495E-3</v>
      </c>
      <c r="E645" s="205">
        <f t="shared" si="299"/>
        <v>0.29740682254903811</v>
      </c>
      <c r="F645" s="215">
        <v>7402.88</v>
      </c>
      <c r="G645" s="168">
        <f t="shared" si="314"/>
        <v>-2.8224287201705686E-4</v>
      </c>
      <c r="H645" s="199">
        <f t="shared" si="315"/>
        <v>0.45391126735667858</v>
      </c>
      <c r="I645" s="822">
        <v>464999.67</v>
      </c>
      <c r="J645" s="170">
        <v>400000</v>
      </c>
      <c r="K645" s="170">
        <f t="shared" si="316"/>
        <v>974.77999999996973</v>
      </c>
      <c r="L645" s="168">
        <f t="shared" si="317"/>
        <v>2.1007062789238952E-3</v>
      </c>
      <c r="M645" s="178">
        <f t="shared" si="300"/>
        <v>64999.669999999984</v>
      </c>
      <c r="N645" s="180">
        <f t="shared" si="305"/>
        <v>0.16249917499999997</v>
      </c>
      <c r="O645" s="179">
        <f t="shared" si="321"/>
        <v>5.9471767203156299E-2</v>
      </c>
      <c r="P645" s="178" t="b">
        <f t="shared" si="302"/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si="297"/>
        <v>116803.91999999998</v>
      </c>
      <c r="T645" s="170">
        <v>-33955</v>
      </c>
      <c r="U645" s="170">
        <f t="shared" si="298"/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:X685" si="322">E645/(A645/365.25)/V645</f>
        <v>0.76236742085984766</v>
      </c>
      <c r="Y645" s="171">
        <f t="shared" si="318"/>
        <v>0.21546826043632036</v>
      </c>
      <c r="Z645" s="784">
        <f t="shared" si="306"/>
        <v>-0.13490764754903814</v>
      </c>
    </row>
    <row r="646" spans="1:26" ht="20.100000000000001" customHeight="1" x14ac:dyDescent="0.25">
      <c r="A646" s="160">
        <f t="shared" si="320"/>
        <v>1001</v>
      </c>
      <c r="B646" s="169">
        <v>43234</v>
      </c>
      <c r="C646" s="211">
        <v>2730.13</v>
      </c>
      <c r="D646" s="168">
        <f t="shared" si="313"/>
        <v>8.8352176909664831E-4</v>
      </c>
      <c r="E646" s="205">
        <f t="shared" si="299"/>
        <v>0.29855310972013471</v>
      </c>
      <c r="F646" s="215">
        <v>7411.31</v>
      </c>
      <c r="G646" s="168">
        <f t="shared" si="314"/>
        <v>1.1387460015561904E-3</v>
      </c>
      <c r="H646" s="199">
        <f t="shared" si="315"/>
        <v>0.45556690299899849</v>
      </c>
      <c r="I646" s="822">
        <v>467579.22</v>
      </c>
      <c r="J646" s="170">
        <v>400000</v>
      </c>
      <c r="K646" s="170">
        <f t="shared" si="316"/>
        <v>2579.5499999999884</v>
      </c>
      <c r="L646" s="168">
        <f t="shared" si="317"/>
        <v>5.5474232917197309E-3</v>
      </c>
      <c r="M646" s="178">
        <f t="shared" si="300"/>
        <v>67579.219999999972</v>
      </c>
      <c r="N646" s="180">
        <f t="shared" si="305"/>
        <v>0.16894804999999993</v>
      </c>
      <c r="O646" s="179">
        <f t="shared" si="321"/>
        <v>6.1646628633866114E-2</v>
      </c>
      <c r="P646" s="178" t="b">
        <f t="shared" si="302"/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si="297"/>
        <v>137313.41999999998</v>
      </c>
      <c r="T646" s="170">
        <v>-33635</v>
      </c>
      <c r="U646" s="170">
        <f t="shared" si="298"/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si="322"/>
        <v>0.76360477547195693</v>
      </c>
      <c r="Y646" s="171">
        <f t="shared" si="318"/>
        <v>0.223507512355025</v>
      </c>
      <c r="Z646" s="784">
        <f t="shared" si="306"/>
        <v>-0.12960505972013478</v>
      </c>
    </row>
    <row r="647" spans="1:26" ht="20.100000000000001" customHeight="1" x14ac:dyDescent="0.25">
      <c r="A647" s="160">
        <f t="shared" si="320"/>
        <v>1002</v>
      </c>
      <c r="B647" s="169">
        <v>43235</v>
      </c>
      <c r="C647" s="211">
        <v>2711.45</v>
      </c>
      <c r="D647" s="168">
        <f t="shared" si="313"/>
        <v>-6.8421650251088012E-3</v>
      </c>
      <c r="E647" s="205">
        <f t="shared" si="299"/>
        <v>0.28966819504956132</v>
      </c>
      <c r="F647" s="215">
        <v>7351.62</v>
      </c>
      <c r="G647" s="168">
        <f t="shared" si="314"/>
        <v>-8.0539067992029083E-3</v>
      </c>
      <c r="H647" s="199">
        <f t="shared" si="315"/>
        <v>0.44384390282224012</v>
      </c>
      <c r="I647" s="822">
        <v>466861.67</v>
      </c>
      <c r="J647" s="170">
        <v>400000</v>
      </c>
      <c r="K647" s="170">
        <f t="shared" si="316"/>
        <v>-717.54999999998836</v>
      </c>
      <c r="L647" s="168">
        <f t="shared" si="317"/>
        <v>-1.5346062641534591E-3</v>
      </c>
      <c r="M647" s="178">
        <f t="shared" si="300"/>
        <v>66861.669999999984</v>
      </c>
      <c r="N647" s="180">
        <f t="shared" si="305"/>
        <v>0.16715417499999996</v>
      </c>
      <c r="O647" s="179">
        <f t="shared" si="321"/>
        <v>6.0931200018712564E-2</v>
      </c>
      <c r="P647" s="178" t="b">
        <f t="shared" si="302"/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si="297"/>
        <v>137317.34999999998</v>
      </c>
      <c r="T647" s="170">
        <v>-33595</v>
      </c>
      <c r="U647" s="170">
        <f t="shared" si="298"/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si="322"/>
        <v>0.74033792695325229</v>
      </c>
      <c r="Y647" s="171">
        <f t="shared" si="318"/>
        <v>0.22108280940535838</v>
      </c>
      <c r="Z647" s="784">
        <f t="shared" si="306"/>
        <v>-0.12251402004956136</v>
      </c>
    </row>
    <row r="648" spans="1:26" ht="20.100000000000001" customHeight="1" x14ac:dyDescent="0.25">
      <c r="A648" s="160">
        <f t="shared" si="320"/>
        <v>1003</v>
      </c>
      <c r="B648" s="169">
        <v>43236</v>
      </c>
      <c r="C648" s="211">
        <v>2722.46</v>
      </c>
      <c r="D648" s="168">
        <f t="shared" si="313"/>
        <v>4.0605580040200704E-3</v>
      </c>
      <c r="E648" s="205">
        <f t="shared" si="299"/>
        <v>0.29490496756149998</v>
      </c>
      <c r="F648" s="215">
        <v>7398.29</v>
      </c>
      <c r="G648" s="168">
        <f t="shared" si="314"/>
        <v>6.3482606554745857E-3</v>
      </c>
      <c r="H648" s="199">
        <f t="shared" si="315"/>
        <v>0.45300980026317345</v>
      </c>
      <c r="I648" s="822">
        <v>469460.39</v>
      </c>
      <c r="J648" s="170">
        <v>400000</v>
      </c>
      <c r="K648" s="170">
        <f t="shared" si="316"/>
        <v>2598.7200000000303</v>
      </c>
      <c r="L648" s="168">
        <f t="shared" si="317"/>
        <v>5.5663597313526086E-3</v>
      </c>
      <c r="M648" s="178">
        <f t="shared" si="300"/>
        <v>69460.390000000014</v>
      </c>
      <c r="N648" s="180">
        <f t="shared" si="305"/>
        <v>0.17365097500000004</v>
      </c>
      <c r="O648" s="179">
        <f t="shared" si="321"/>
        <v>6.323630968968097E-2</v>
      </c>
      <c r="P648" s="178" t="b">
        <f t="shared" si="302"/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si="297"/>
        <v>140361.66000000003</v>
      </c>
      <c r="T648" s="170">
        <v>-33215</v>
      </c>
      <c r="U648" s="170">
        <f t="shared" si="298"/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si="322"/>
        <v>0.75345993437295689</v>
      </c>
      <c r="Y648" s="171">
        <f t="shared" si="318"/>
        <v>0.22961004698720813</v>
      </c>
      <c r="Z648" s="784">
        <f t="shared" si="306"/>
        <v>-0.12125399256149993</v>
      </c>
    </row>
    <row r="649" spans="1:26" ht="20.100000000000001" customHeight="1" x14ac:dyDescent="0.25">
      <c r="A649" s="160">
        <f t="shared" si="320"/>
        <v>1004</v>
      </c>
      <c r="B649" s="169">
        <v>43237</v>
      </c>
      <c r="C649" s="211">
        <v>2720.13</v>
      </c>
      <c r="D649" s="168">
        <f t="shared" si="313"/>
        <v>-8.5584361202733085E-4</v>
      </c>
      <c r="E649" s="205">
        <f t="shared" si="299"/>
        <v>0.29379673141682999</v>
      </c>
      <c r="F649" s="215">
        <v>7382.47</v>
      </c>
      <c r="G649" s="168">
        <f t="shared" si="314"/>
        <v>-2.1383319659001891E-3</v>
      </c>
      <c r="H649" s="199">
        <f t="shared" si="315"/>
        <v>0.44990278296050445</v>
      </c>
      <c r="I649" s="822">
        <v>471759.89</v>
      </c>
      <c r="J649" s="170">
        <v>400000</v>
      </c>
      <c r="K649" s="170">
        <f t="shared" si="316"/>
        <v>2299.5</v>
      </c>
      <c r="L649" s="168">
        <f t="shared" si="317"/>
        <v>4.8981768195608582E-3</v>
      </c>
      <c r="M649" s="178">
        <f t="shared" si="300"/>
        <v>71759.890000000014</v>
      </c>
      <c r="N649" s="180">
        <f t="shared" si="305"/>
        <v>0.17939972500000004</v>
      </c>
      <c r="O649" s="179">
        <f t="shared" si="321"/>
        <v>6.5264690793077701E-2</v>
      </c>
      <c r="P649" s="178" t="b">
        <f t="shared" si="302"/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:S680" si="323">I649-R649</f>
        <v>137684.47000000003</v>
      </c>
      <c r="T649" s="170">
        <v>-32602</v>
      </c>
      <c r="U649" s="170">
        <f t="shared" si="298"/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si="322"/>
        <v>0.75044980844476061</v>
      </c>
      <c r="Y649" s="171">
        <f t="shared" si="318"/>
        <v>0.23714735396080902</v>
      </c>
      <c r="Z649" s="784">
        <f t="shared" si="306"/>
        <v>-0.11439700641682995</v>
      </c>
    </row>
    <row r="650" spans="1:26" ht="20.100000000000001" customHeight="1" x14ac:dyDescent="0.25">
      <c r="A650" s="160">
        <f t="shared" si="320"/>
        <v>1005</v>
      </c>
      <c r="B650" s="169">
        <v>43238</v>
      </c>
      <c r="C650" s="211">
        <v>2712.97</v>
      </c>
      <c r="D650" s="168">
        <f t="shared" si="313"/>
        <v>-2.6322271362031629E-3</v>
      </c>
      <c r="E650" s="205">
        <f t="shared" si="299"/>
        <v>0.29039116455166364</v>
      </c>
      <c r="F650" s="215">
        <v>7354.33</v>
      </c>
      <c r="G650" s="168">
        <f t="shared" si="314"/>
        <v>-3.8117323876697535E-3</v>
      </c>
      <c r="H650" s="199">
        <f t="shared" si="315"/>
        <v>0.44437614156372141</v>
      </c>
      <c r="I650" s="822">
        <v>368892.97</v>
      </c>
      <c r="J650" s="170">
        <v>300000</v>
      </c>
      <c r="K650" s="170">
        <f t="shared" si="316"/>
        <v>-2866.9200000000419</v>
      </c>
      <c r="L650" s="168">
        <f t="shared" si="317"/>
        <v>-6.0770745049988075E-3</v>
      </c>
      <c r="M650" s="178">
        <f t="shared" si="300"/>
        <v>68892.969999999972</v>
      </c>
      <c r="N650" s="180">
        <f t="shared" si="305"/>
        <v>0.22964323333333325</v>
      </c>
      <c r="O650" s="179">
        <f t="shared" si="321"/>
        <v>8.3459891517412899E-2</v>
      </c>
      <c r="P650" s="178" t="b">
        <f t="shared" si="302"/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si="323"/>
        <v>37684.489999999991</v>
      </c>
      <c r="T650" s="170">
        <v>-33172</v>
      </c>
      <c r="U650" s="170">
        <f t="shared" si="298"/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si="322"/>
        <v>0.74151904911669486</v>
      </c>
      <c r="Y650" s="171">
        <f t="shared" si="318"/>
        <v>0.30346180483229784</v>
      </c>
      <c r="Z650" s="784">
        <f t="shared" si="306"/>
        <v>-6.0747931218330387E-2</v>
      </c>
    </row>
    <row r="651" spans="1:26" ht="20.100000000000001" customHeight="1" x14ac:dyDescent="0.25">
      <c r="A651" s="160">
        <f t="shared" si="320"/>
        <v>1008</v>
      </c>
      <c r="B651" s="169">
        <v>43241</v>
      </c>
      <c r="C651" s="211">
        <v>2733.01</v>
      </c>
      <c r="D651" s="168">
        <f t="shared" si="313"/>
        <v>7.386738519040174E-3</v>
      </c>
      <c r="E651" s="205">
        <f t="shared" si="299"/>
        <v>0.29992294667148656</v>
      </c>
      <c r="F651" s="215">
        <v>7394.03</v>
      </c>
      <c r="G651" s="168">
        <f t="shared" si="314"/>
        <v>5.3981803916875936E-3</v>
      </c>
      <c r="H651" s="199">
        <f t="shared" si="315"/>
        <v>0.45217314452933205</v>
      </c>
      <c r="I651" s="822">
        <v>370544.71</v>
      </c>
      <c r="J651" s="170">
        <v>300000</v>
      </c>
      <c r="K651" s="170">
        <f t="shared" si="316"/>
        <v>1651.7400000000489</v>
      </c>
      <c r="L651" s="168">
        <f t="shared" si="317"/>
        <v>4.4775588973681151E-3</v>
      </c>
      <c r="M651" s="178">
        <f t="shared" si="300"/>
        <v>70544.710000000021</v>
      </c>
      <c r="N651" s="180">
        <f t="shared" si="305"/>
        <v>0.2351490333333334</v>
      </c>
      <c r="O651" s="179">
        <f t="shared" si="321"/>
        <v>8.5206532167658749E-2</v>
      </c>
      <c r="P651" s="178" t="b">
        <f t="shared" si="302"/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si="323"/>
        <v>59564.19</v>
      </c>
      <c r="T651" s="170">
        <v>-33411</v>
      </c>
      <c r="U651" s="170">
        <f t="shared" si="298"/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si="322"/>
        <v>0.76381476965862527</v>
      </c>
      <c r="Y651" s="171">
        <f t="shared" si="318"/>
        <v>0.31003985732553174</v>
      </c>
      <c r="Z651" s="784">
        <f t="shared" si="306"/>
        <v>-6.4773913338153161E-2</v>
      </c>
    </row>
    <row r="652" spans="1:26" ht="20.100000000000001" customHeight="1" x14ac:dyDescent="0.25">
      <c r="A652" s="160">
        <f t="shared" si="320"/>
        <v>1009</v>
      </c>
      <c r="B652" s="169">
        <v>43242</v>
      </c>
      <c r="C652" s="211">
        <v>2724.44</v>
      </c>
      <c r="D652" s="168">
        <f t="shared" si="313"/>
        <v>-3.1357367883762454E-3</v>
      </c>
      <c r="E652" s="205">
        <f t="shared" si="299"/>
        <v>0.29584673046555432</v>
      </c>
      <c r="F652" s="215">
        <v>7378.45</v>
      </c>
      <c r="G652" s="168">
        <f t="shared" si="314"/>
        <v>-2.1071053268650422E-3</v>
      </c>
      <c r="H652" s="199">
        <f t="shared" si="315"/>
        <v>0.44911326276096392</v>
      </c>
      <c r="I652" s="822">
        <v>369224.1</v>
      </c>
      <c r="J652" s="170">
        <v>300000</v>
      </c>
      <c r="K652" s="170">
        <f t="shared" si="316"/>
        <v>-1320.6100000000442</v>
      </c>
      <c r="L652" s="168">
        <f t="shared" si="317"/>
        <v>-3.5639693790259323E-3</v>
      </c>
      <c r="M652" s="178">
        <f t="shared" si="300"/>
        <v>69224.099999999977</v>
      </c>
      <c r="N652" s="180">
        <f t="shared" si="305"/>
        <v>0.23074699999999992</v>
      </c>
      <c r="O652" s="179">
        <f t="shared" si="321"/>
        <v>8.3528584489593632E-2</v>
      </c>
      <c r="P652" s="178" t="b">
        <f t="shared" si="302"/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si="323"/>
        <v>59581.109999999986</v>
      </c>
      <c r="T652" s="170">
        <v>-33552</v>
      </c>
      <c r="U652" s="170">
        <f t="shared" si="298"/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si="322"/>
        <v>0.75317512290461208</v>
      </c>
      <c r="Y652" s="171">
        <f t="shared" si="318"/>
        <v>0.30415528360616906</v>
      </c>
      <c r="Z652" s="784">
        <f t="shared" si="306"/>
        <v>-6.5099730465554395E-2</v>
      </c>
    </row>
    <row r="653" spans="1:26" ht="20.100000000000001" customHeight="1" x14ac:dyDescent="0.25">
      <c r="A653" s="160">
        <f t="shared" si="320"/>
        <v>1010</v>
      </c>
      <c r="B653" s="169">
        <v>43243</v>
      </c>
      <c r="C653" s="211">
        <v>2733.29</v>
      </c>
      <c r="D653" s="168">
        <f t="shared" si="313"/>
        <v>3.2483739777715453E-3</v>
      </c>
      <c r="E653" s="205">
        <f t="shared" si="299"/>
        <v>0.30005612526397896</v>
      </c>
      <c r="F653" s="215">
        <v>7425.95</v>
      </c>
      <c r="G653" s="168">
        <f t="shared" si="314"/>
        <v>6.4376664475601243E-3</v>
      </c>
      <c r="H653" s="199">
        <f t="shared" si="315"/>
        <v>0.45844217059135456</v>
      </c>
      <c r="I653" s="822">
        <v>369307.32</v>
      </c>
      <c r="J653" s="170">
        <v>300000</v>
      </c>
      <c r="K653" s="170">
        <f t="shared" si="316"/>
        <v>83.220000000030268</v>
      </c>
      <c r="L653" s="168">
        <f t="shared" si="317"/>
        <v>2.2539157113533561E-4</v>
      </c>
      <c r="M653" s="178">
        <f t="shared" si="300"/>
        <v>69307.320000000007</v>
      </c>
      <c r="N653" s="180">
        <f t="shared" si="305"/>
        <v>0.23102440000000002</v>
      </c>
      <c r="O653" s="179">
        <f t="shared" si="321"/>
        <v>8.3546200099009912E-2</v>
      </c>
      <c r="P653" s="178" t="b">
        <f t="shared" si="302"/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si="323"/>
        <v>64765.340000000026</v>
      </c>
      <c r="T653" s="170">
        <v>-33811</v>
      </c>
      <c r="U653" s="170">
        <f t="shared" si="298"/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si="322"/>
        <v>0.76366510643891128</v>
      </c>
      <c r="Y653" s="171">
        <f t="shared" si="318"/>
        <v>0.30445361411090577</v>
      </c>
      <c r="Z653" s="784">
        <f t="shared" si="306"/>
        <v>-6.9031725263978938E-2</v>
      </c>
    </row>
    <row r="654" spans="1:26" ht="20.100000000000001" customHeight="1" x14ac:dyDescent="0.25">
      <c r="A654" s="160">
        <f t="shared" si="320"/>
        <v>1011</v>
      </c>
      <c r="B654" s="169">
        <v>43244</v>
      </c>
      <c r="C654" s="211">
        <v>2727.76</v>
      </c>
      <c r="D654" s="168">
        <f t="shared" si="313"/>
        <v>-2.0232028068736742E-3</v>
      </c>
      <c r="E654" s="205">
        <f t="shared" si="299"/>
        <v>0.29742584806225153</v>
      </c>
      <c r="F654" s="215">
        <v>7424.42</v>
      </c>
      <c r="G654" s="168">
        <f t="shared" si="314"/>
        <v>-2.0603424477672828E-4</v>
      </c>
      <c r="H654" s="199">
        <f t="shared" si="315"/>
        <v>0.45814168156018625</v>
      </c>
      <c r="I654" s="822">
        <v>369717.91</v>
      </c>
      <c r="J654" s="170">
        <v>300000</v>
      </c>
      <c r="K654" s="170">
        <f t="shared" si="316"/>
        <v>410.5899999999674</v>
      </c>
      <c r="L654" s="168">
        <f t="shared" si="317"/>
        <v>1.1117840826982996E-3</v>
      </c>
      <c r="M654" s="178">
        <f t="shared" si="300"/>
        <v>69717.909999999974</v>
      </c>
      <c r="N654" s="180">
        <f t="shared" si="305"/>
        <v>0.23239303333333325</v>
      </c>
      <c r="O654" s="179">
        <f t="shared" si="321"/>
        <v>8.3958017235410451E-2</v>
      </c>
      <c r="P654" s="178" t="b">
        <f t="shared" si="302"/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si="323"/>
        <v>62735.909999999974</v>
      </c>
      <c r="T654" s="170">
        <v>-33834</v>
      </c>
      <c r="U654" s="170">
        <f t="shared" si="298"/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si="322"/>
        <v>0.75675947832872026</v>
      </c>
      <c r="Y654" s="171">
        <f t="shared" si="318"/>
        <v>0.30618936830962717</v>
      </c>
      <c r="Z654" s="784">
        <f t="shared" si="306"/>
        <v>-6.5032814728918281E-2</v>
      </c>
    </row>
    <row r="655" spans="1:26" ht="20.100000000000001" customHeight="1" x14ac:dyDescent="0.25">
      <c r="A655" s="160">
        <f t="shared" si="320"/>
        <v>1012</v>
      </c>
      <c r="B655" s="169">
        <v>43245</v>
      </c>
      <c r="C655" s="211">
        <v>2721.33</v>
      </c>
      <c r="D655" s="168">
        <f t="shared" si="313"/>
        <v>-2.3572455054697958E-3</v>
      </c>
      <c r="E655" s="205">
        <f t="shared" si="299"/>
        <v>0.29436749681322649</v>
      </c>
      <c r="F655" s="215">
        <v>7433.85</v>
      </c>
      <c r="G655" s="168">
        <f t="shared" si="314"/>
        <v>1.2701328858012197E-3</v>
      </c>
      <c r="H655" s="199">
        <f t="shared" si="315"/>
        <v>0.45999371526209332</v>
      </c>
      <c r="I655" s="822">
        <v>370226.78</v>
      </c>
      <c r="J655" s="170">
        <v>300000</v>
      </c>
      <c r="K655" s="170">
        <f t="shared" si="316"/>
        <v>508.87000000005355</v>
      </c>
      <c r="L655" s="168">
        <f t="shared" si="317"/>
        <v>1.3763736790572401E-3</v>
      </c>
      <c r="M655" s="178">
        <f t="shared" si="300"/>
        <v>70226.780000000028</v>
      </c>
      <c r="N655" s="180">
        <f t="shared" si="305"/>
        <v>0.23408926666666677</v>
      </c>
      <c r="O655" s="179">
        <f t="shared" si="321"/>
        <v>8.448725755928857E-2</v>
      </c>
      <c r="P655" s="178" t="b">
        <f t="shared" si="302"/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si="323"/>
        <v>45347.460000000021</v>
      </c>
      <c r="T655" s="170">
        <v>-33723</v>
      </c>
      <c r="U655" s="170">
        <f t="shared" si="298"/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si="322"/>
        <v>0.74875615636297466</v>
      </c>
      <c r="Y655" s="171">
        <f t="shared" si="318"/>
        <v>0.3083555322940939</v>
      </c>
      <c r="Z655" s="784">
        <f t="shared" si="306"/>
        <v>-6.0278230146559725E-2</v>
      </c>
    </row>
    <row r="656" spans="1:26" ht="20.100000000000001" customHeight="1" x14ac:dyDescent="0.25">
      <c r="A656" s="160">
        <f t="shared" si="320"/>
        <v>1015</v>
      </c>
      <c r="B656" s="169">
        <v>43248</v>
      </c>
      <c r="C656" s="211">
        <v>2689.86</v>
      </c>
      <c r="D656" s="168">
        <f t="shared" si="313"/>
        <v>-1.1564198388288007E-2</v>
      </c>
      <c r="E656" s="205">
        <f t="shared" si="299"/>
        <v>0.27939917429272659</v>
      </c>
      <c r="F656" s="215">
        <v>7396.59</v>
      </c>
      <c r="G656" s="168">
        <f t="shared" si="314"/>
        <v>-5.0122076716641066E-3</v>
      </c>
      <c r="H656" s="199">
        <f t="shared" si="315"/>
        <v>0.4526759235618753</v>
      </c>
      <c r="I656" s="822">
        <v>367527</v>
      </c>
      <c r="J656" s="170">
        <v>300000</v>
      </c>
      <c r="K656" s="170">
        <f t="shared" si="316"/>
        <v>-2699.7800000000279</v>
      </c>
      <c r="L656" s="168">
        <f t="shared" si="317"/>
        <v>-7.292233155040885E-3</v>
      </c>
      <c r="M656" s="178">
        <f t="shared" si="300"/>
        <v>67527</v>
      </c>
      <c r="N656" s="180">
        <f t="shared" ref="N656:N685" si="324">M656/J656</f>
        <v>0.22509000000000001</v>
      </c>
      <c r="O656" s="179">
        <f t="shared" si="321"/>
        <v>8.0999135467980307E-2</v>
      </c>
      <c r="P656" s="178" t="b">
        <f t="shared" si="302"/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si="323"/>
        <v>33390.219999999972</v>
      </c>
      <c r="T656" s="170">
        <v>-33965</v>
      </c>
      <c r="U656" s="170">
        <f t="shared" si="298"/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si="322"/>
        <v>0.70814871028331094</v>
      </c>
      <c r="Y656" s="171">
        <f t="shared" si="318"/>
        <v>0.29580430787787965</v>
      </c>
      <c r="Z656" s="784">
        <f t="shared" ref="Z656:Z685" si="325">-(E656-N656)</f>
        <v>-5.4309174292726581E-2</v>
      </c>
    </row>
    <row r="657" spans="1:26" ht="20.100000000000001" customHeight="1" x14ac:dyDescent="0.25">
      <c r="A657" s="160">
        <f t="shared" si="320"/>
        <v>1016</v>
      </c>
      <c r="B657" s="169">
        <v>43249</v>
      </c>
      <c r="C657" s="211">
        <v>2724.01</v>
      </c>
      <c r="D657" s="168">
        <f t="shared" si="313"/>
        <v>1.2695828035659882E-2</v>
      </c>
      <c r="E657" s="205">
        <f t="shared" si="299"/>
        <v>0.29564220619851228</v>
      </c>
      <c r="F657" s="215">
        <v>7462.45</v>
      </c>
      <c r="G657" s="168">
        <f t="shared" si="314"/>
        <v>8.9041031069722228E-3</v>
      </c>
      <c r="H657" s="199">
        <f t="shared" si="315"/>
        <v>0.46561069976628633</v>
      </c>
      <c r="I657" s="822">
        <v>372747.09</v>
      </c>
      <c r="J657" s="170">
        <v>300000</v>
      </c>
      <c r="K657" s="170">
        <f t="shared" si="316"/>
        <v>5220.0900000000256</v>
      </c>
      <c r="L657" s="168">
        <f t="shared" si="317"/>
        <v>1.420328302410442E-2</v>
      </c>
      <c r="M657" s="178">
        <f t="shared" si="300"/>
        <v>72747.090000000026</v>
      </c>
      <c r="N657" s="180">
        <f t="shared" si="324"/>
        <v>0.24249030000000008</v>
      </c>
      <c r="O657" s="179">
        <f t="shared" si="321"/>
        <v>8.7174785506889799E-2</v>
      </c>
      <c r="P657" s="178" t="b">
        <f t="shared" si="302"/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si="323"/>
        <v>39789.100000000035</v>
      </c>
      <c r="T657" s="170">
        <v>-33334</v>
      </c>
      <c r="U657" s="170">
        <f t="shared" si="298"/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si="322"/>
        <v>0.74807556410732035</v>
      </c>
      <c r="Y657" s="171">
        <f t="shared" si="318"/>
        <v>0.31844907547564094</v>
      </c>
      <c r="Z657" s="784">
        <f t="shared" si="325"/>
        <v>-5.3151906198512205E-2</v>
      </c>
    </row>
    <row r="658" spans="1:26" ht="20.100000000000001" customHeight="1" x14ac:dyDescent="0.25">
      <c r="A658" s="160">
        <f t="shared" si="320"/>
        <v>1017</v>
      </c>
      <c r="B658" s="169">
        <v>43250</v>
      </c>
      <c r="C658" s="211">
        <v>2705.27</v>
      </c>
      <c r="D658" s="168">
        <f t="shared" si="313"/>
        <v>-6.8795635845684249E-3</v>
      </c>
      <c r="E658" s="205">
        <f t="shared" si="299"/>
        <v>0.28672875325811908</v>
      </c>
      <c r="F658" s="215">
        <v>7442.11</v>
      </c>
      <c r="G658" s="168">
        <f t="shared" si="314"/>
        <v>-2.7256464029909943E-3</v>
      </c>
      <c r="H658" s="199">
        <f t="shared" si="315"/>
        <v>0.46161596323428322</v>
      </c>
      <c r="I658" s="838">
        <v>367531.04</v>
      </c>
      <c r="J658" s="170">
        <v>300000</v>
      </c>
      <c r="K658" s="170">
        <f t="shared" si="316"/>
        <v>-5216.0500000000466</v>
      </c>
      <c r="L658" s="168">
        <f t="shared" si="317"/>
        <v>-1.3993536475362011E-2</v>
      </c>
      <c r="M658" s="462">
        <f t="shared" si="300"/>
        <v>67531.039999999979</v>
      </c>
      <c r="N658" s="180">
        <f t="shared" si="324"/>
        <v>0.22510346666666659</v>
      </c>
      <c r="O658" s="179">
        <f t="shared" si="321"/>
        <v>8.0844681612585997E-2</v>
      </c>
      <c r="P658" s="178" t="b">
        <f t="shared" si="302"/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si="323"/>
        <v>32870.959999999963</v>
      </c>
      <c r="T658" s="170">
        <v>-34339</v>
      </c>
      <c r="U658" s="170">
        <f t="shared" si="298"/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si="322"/>
        <v>0.72499239889895384</v>
      </c>
      <c r="Y658" s="171">
        <f t="shared" si="318"/>
        <v>0.29538967651932285</v>
      </c>
      <c r="Z658" s="784">
        <f t="shared" si="325"/>
        <v>-6.1625286591452499E-2</v>
      </c>
    </row>
    <row r="659" spans="1:26" ht="20.100000000000001" customHeight="1" x14ac:dyDescent="0.25">
      <c r="A659" s="160">
        <f t="shared" si="320"/>
        <v>1019</v>
      </c>
      <c r="B659" s="169">
        <v>43252</v>
      </c>
      <c r="C659" s="211">
        <v>2734.62</v>
      </c>
      <c r="D659" s="168">
        <f t="shared" si="313"/>
        <v>1.0849194350286629E-2</v>
      </c>
      <c r="E659" s="205">
        <f t="shared" si="299"/>
        <v>0.30068872357831844</v>
      </c>
      <c r="F659" s="215">
        <v>7555.33</v>
      </c>
      <c r="G659" s="168">
        <f t="shared" si="314"/>
        <v>1.5213427374763375E-2</v>
      </c>
      <c r="H659" s="199">
        <f t="shared" si="315"/>
        <v>0.48385215154074279</v>
      </c>
      <c r="I659" s="822">
        <v>369254.27</v>
      </c>
      <c r="J659" s="170">
        <v>300000</v>
      </c>
      <c r="K659" s="170">
        <f t="shared" si="316"/>
        <v>1723.2300000000396</v>
      </c>
      <c r="L659" s="168">
        <f t="shared" si="317"/>
        <v>4.6886652077061022E-3</v>
      </c>
      <c r="M659" s="178">
        <f t="shared" si="300"/>
        <v>69254.270000000019</v>
      </c>
      <c r="N659" s="180">
        <f t="shared" si="324"/>
        <v>0.23084756666666673</v>
      </c>
      <c r="O659" s="179">
        <f t="shared" si="321"/>
        <v>8.2744920240431813E-2</v>
      </c>
      <c r="P659" s="178" t="b">
        <f t="shared" si="302"/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si="323"/>
        <v>37626.960000000021</v>
      </c>
      <c r="T659" s="170">
        <v>-34339</v>
      </c>
      <c r="U659" s="170">
        <f t="shared" si="298"/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si="322"/>
        <v>0.75859243948823241</v>
      </c>
      <c r="Y659" s="171">
        <f t="shared" si="318"/>
        <v>0.30255028933084693</v>
      </c>
      <c r="Z659" s="784">
        <f t="shared" si="325"/>
        <v>-6.9841156911651714E-2</v>
      </c>
    </row>
    <row r="660" spans="1:26" ht="20.100000000000001" customHeight="1" x14ac:dyDescent="0.25">
      <c r="A660" s="160">
        <f t="shared" si="320"/>
        <v>1022</v>
      </c>
      <c r="B660" s="169">
        <v>43255</v>
      </c>
      <c r="C660" s="211">
        <v>2746.87</v>
      </c>
      <c r="D660" s="168">
        <f t="shared" si="313"/>
        <v>4.4795986279629347E-3</v>
      </c>
      <c r="E660" s="205">
        <f t="shared" si="299"/>
        <v>0.30651528699986674</v>
      </c>
      <c r="F660" s="215">
        <v>7606.46</v>
      </c>
      <c r="G660" s="168">
        <f t="shared" si="314"/>
        <v>6.7674079093831916E-3</v>
      </c>
      <c r="H660" s="199">
        <f t="shared" si="315"/>
        <v>0.49389398432743492</v>
      </c>
      <c r="I660" s="822">
        <v>371020.96</v>
      </c>
      <c r="J660" s="170">
        <v>300000</v>
      </c>
      <c r="K660" s="170">
        <f t="shared" si="316"/>
        <v>1766.6900000000023</v>
      </c>
      <c r="L660" s="168">
        <f t="shared" si="317"/>
        <v>4.7844808944254111E-3</v>
      </c>
      <c r="M660" s="178">
        <f t="shared" si="300"/>
        <v>71020.960000000021</v>
      </c>
      <c r="N660" s="180">
        <f t="shared" si="324"/>
        <v>0.23673653333333342</v>
      </c>
      <c r="O660" s="179">
        <f t="shared" si="321"/>
        <v>8.460667201565561E-2</v>
      </c>
      <c r="P660" s="178" t="b">
        <f t="shared" si="302"/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23"/>
        <v>37627.550000000047</v>
      </c>
      <c r="T660" s="170">
        <v>-33454</v>
      </c>
      <c r="U660" s="170">
        <f t="shared" si="298"/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si="322"/>
        <v>0.7714899047863113</v>
      </c>
      <c r="Y660" s="171">
        <f t="shared" si="318"/>
        <v>0.30957927780322791</v>
      </c>
      <c r="Z660" s="784">
        <f t="shared" si="325"/>
        <v>-6.9778753666533327E-2</v>
      </c>
    </row>
    <row r="661" spans="1:26" ht="20.100000000000001" customHeight="1" x14ac:dyDescent="0.25">
      <c r="A661" s="160">
        <f t="shared" si="320"/>
        <v>1023</v>
      </c>
      <c r="B661" s="169">
        <v>43256</v>
      </c>
      <c r="C661" s="211">
        <v>2748.8</v>
      </c>
      <c r="D661" s="168">
        <f t="shared" ref="D661:D667" si="326">(C661-C660)/C660</f>
        <v>7.0261788872436309E-4</v>
      </c>
      <c r="E661" s="205">
        <f t="shared" si="299"/>
        <v>0.30743326801240467</v>
      </c>
      <c r="F661" s="215">
        <v>7637.86</v>
      </c>
      <c r="G661" s="168">
        <f t="shared" si="314"/>
        <v>4.1280700877937481E-3</v>
      </c>
      <c r="H661" s="199">
        <f t="shared" si="315"/>
        <v>0.50006088339847199</v>
      </c>
      <c r="I661" s="822">
        <v>370163.04</v>
      </c>
      <c r="J661" s="170">
        <v>300000</v>
      </c>
      <c r="K661" s="170">
        <f t="shared" si="316"/>
        <v>-857.92000000004191</v>
      </c>
      <c r="L661" s="168">
        <f t="shared" si="317"/>
        <v>-2.3123221933338805E-3</v>
      </c>
      <c r="M661" s="178">
        <f t="shared" si="300"/>
        <v>70163.039999999979</v>
      </c>
      <c r="N661" s="180">
        <f t="shared" si="324"/>
        <v>0.23387679999999994</v>
      </c>
      <c r="O661" s="179">
        <f t="shared" si="321"/>
        <v>8.3502933724340159E-2</v>
      </c>
      <c r="P661" s="178" t="b">
        <f t="shared" si="302"/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si="323"/>
        <v>40547.099999999977</v>
      </c>
      <c r="T661" s="170">
        <v>-33418</v>
      </c>
      <c r="U661" s="170">
        <f t="shared" si="298"/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si="322"/>
        <v>0.77363164003842477</v>
      </c>
      <c r="Y661" s="171">
        <f t="shared" si="318"/>
        <v>0.30576652642177288</v>
      </c>
      <c r="Z661" s="784">
        <f t="shared" si="325"/>
        <v>-7.355646801240473E-2</v>
      </c>
    </row>
    <row r="662" spans="1:26" ht="20.100000000000001" customHeight="1" x14ac:dyDescent="0.25">
      <c r="A662" s="160">
        <f t="shared" si="320"/>
        <v>1024</v>
      </c>
      <c r="B662" s="169">
        <v>43257</v>
      </c>
      <c r="C662" s="211">
        <v>2772.35</v>
      </c>
      <c r="D662" s="168">
        <f t="shared" si="326"/>
        <v>8.5673748544818559E-3</v>
      </c>
      <c r="E662" s="205">
        <f t="shared" si="299"/>
        <v>0.31863453891668719</v>
      </c>
      <c r="F662" s="215">
        <v>7689.24</v>
      </c>
      <c r="G662" s="168">
        <f t="shared" si="314"/>
        <v>6.7270151586962985E-3</v>
      </c>
      <c r="H662" s="199">
        <f t="shared" si="315"/>
        <v>0.51015181570006085</v>
      </c>
      <c r="I662" s="822">
        <v>374822.41</v>
      </c>
      <c r="J662" s="170">
        <v>300000</v>
      </c>
      <c r="K662" s="170">
        <f t="shared" si="316"/>
        <v>4659.3699999999953</v>
      </c>
      <c r="L662" s="168">
        <f t="shared" si="317"/>
        <v>1.2587345295197477E-2</v>
      </c>
      <c r="M662" s="178">
        <f t="shared" si="300"/>
        <v>74822.409999999974</v>
      </c>
      <c r="N662" s="180">
        <f t="shared" si="324"/>
        <v>0.24940803333333325</v>
      </c>
      <c r="O662" s="179">
        <f t="shared" si="321"/>
        <v>8.8961215014648404E-2</v>
      </c>
      <c r="P662" s="178" t="b">
        <f t="shared" si="302"/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si="323"/>
        <v>48953.02999999997</v>
      </c>
      <c r="T662" s="170">
        <v>-33319</v>
      </c>
      <c r="U662" s="170">
        <f t="shared" si="298"/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si="322"/>
        <v>0.80114256841576503</v>
      </c>
      <c r="Y662" s="171">
        <f t="shared" si="318"/>
        <v>0.32588032498540725</v>
      </c>
      <c r="Z662" s="784">
        <f t="shared" si="325"/>
        <v>-6.9226505583353942E-2</v>
      </c>
    </row>
    <row r="663" spans="1:26" ht="20.100000000000001" customHeight="1" x14ac:dyDescent="0.25">
      <c r="A663" s="160">
        <f t="shared" si="320"/>
        <v>1025</v>
      </c>
      <c r="B663" s="169">
        <v>43258</v>
      </c>
      <c r="C663" s="211">
        <v>2770.37</v>
      </c>
      <c r="D663" s="168">
        <f t="shared" si="326"/>
        <v>-7.1419553808141768E-4</v>
      </c>
      <c r="E663" s="205">
        <f t="shared" si="299"/>
        <v>0.31769277601263285</v>
      </c>
      <c r="F663" s="215">
        <v>7635.07</v>
      </c>
      <c r="G663" s="168">
        <f t="shared" si="314"/>
        <v>-7.0449095099125629E-3</v>
      </c>
      <c r="H663" s="199">
        <f t="shared" si="315"/>
        <v>0.49951293281222381</v>
      </c>
      <c r="I663" s="822">
        <v>377198.67</v>
      </c>
      <c r="J663" s="170">
        <v>300000</v>
      </c>
      <c r="K663" s="170">
        <f t="shared" si="316"/>
        <v>2376.2600000000093</v>
      </c>
      <c r="L663" s="168">
        <f t="shared" si="317"/>
        <v>6.3396956441318687E-3</v>
      </c>
      <c r="M663" s="178">
        <f t="shared" si="300"/>
        <v>77198.669999999984</v>
      </c>
      <c r="N663" s="180">
        <f t="shared" si="324"/>
        <v>0.25732889999999997</v>
      </c>
      <c r="O663" s="179">
        <f t="shared" si="321"/>
        <v>9.1696956804878035E-2</v>
      </c>
      <c r="P663" s="178" t="b">
        <f t="shared" si="302"/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si="323"/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si="322"/>
        <v>0.79859020450645668</v>
      </c>
      <c r="Y663" s="171">
        <f t="shared" si="318"/>
        <v>0.3361281722895389</v>
      </c>
      <c r="Z663" s="784">
        <f t="shared" si="325"/>
        <v>-6.0363876012632878E-2</v>
      </c>
    </row>
    <row r="664" spans="1:26" ht="20.100000000000001" customHeight="1" x14ac:dyDescent="0.25">
      <c r="A664" s="160">
        <f t="shared" si="320"/>
        <v>1026</v>
      </c>
      <c r="B664" s="169">
        <v>43259</v>
      </c>
      <c r="C664" s="211">
        <v>2779.03</v>
      </c>
      <c r="D664" s="168">
        <f t="shared" si="326"/>
        <v>3.1259362467830325E-3</v>
      </c>
      <c r="E664" s="205">
        <f t="shared" si="299"/>
        <v>0.32181179962329493</v>
      </c>
      <c r="F664" s="215">
        <v>7645.51</v>
      </c>
      <c r="G664" s="168">
        <f t="shared" si="314"/>
        <v>1.3673744968940049E-3</v>
      </c>
      <c r="H664" s="199">
        <f t="shared" si="315"/>
        <v>0.50156332855431396</v>
      </c>
      <c r="I664" s="822">
        <v>379330.1</v>
      </c>
      <c r="J664" s="170">
        <v>300000</v>
      </c>
      <c r="K664" s="170">
        <f t="shared" si="316"/>
        <v>2131.429999999993</v>
      </c>
      <c r="L664" s="168">
        <f t="shared" si="317"/>
        <v>5.6506827025662445E-3</v>
      </c>
      <c r="M664" s="178">
        <f t="shared" si="300"/>
        <v>79330.099999999977</v>
      </c>
      <c r="N664" s="180">
        <f t="shared" si="324"/>
        <v>0.26443366666666657</v>
      </c>
      <c r="O664" s="179">
        <f t="shared" si="321"/>
        <v>9.41368389376218E-2</v>
      </c>
      <c r="P664" s="178" t="b">
        <f t="shared" si="302"/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si="323"/>
        <v>72014.859999999986</v>
      </c>
      <c r="T664" s="170">
        <v>-33130</v>
      </c>
      <c r="U664" s="170">
        <f t="shared" ref="U664:U675" si="327">M664-T664</f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si="322"/>
        <v>0.80871320264291569</v>
      </c>
      <c r="Y664" s="171">
        <f t="shared" ref="Y664:Y669" si="328">O664/W664</f>
        <v>0.3453107026752707</v>
      </c>
      <c r="Z664" s="784">
        <f t="shared" si="325"/>
        <v>-5.7378132956628358E-2</v>
      </c>
    </row>
    <row r="665" spans="1:26" ht="20.100000000000001" customHeight="1" x14ac:dyDescent="0.25">
      <c r="A665" s="160">
        <f t="shared" si="320"/>
        <v>1029</v>
      </c>
      <c r="B665" s="169">
        <v>43262</v>
      </c>
      <c r="C665" s="211">
        <v>2782</v>
      </c>
      <c r="D665" s="168">
        <f t="shared" si="326"/>
        <v>1.0687182218255291E-3</v>
      </c>
      <c r="E665" s="205">
        <f t="shared" si="299"/>
        <v>0.32322444397937633</v>
      </c>
      <c r="F665" s="215">
        <v>7659.92</v>
      </c>
      <c r="G665" s="168">
        <f t="shared" si="314"/>
        <v>1.8847663530621049E-3</v>
      </c>
      <c r="H665" s="199">
        <f t="shared" si="315"/>
        <v>0.5043934245929651</v>
      </c>
      <c r="I665" s="822">
        <v>382027.21</v>
      </c>
      <c r="J665" s="170">
        <v>300000</v>
      </c>
      <c r="K665" s="170">
        <f t="shared" si="316"/>
        <v>2697.1100000000442</v>
      </c>
      <c r="L665" s="168">
        <f t="shared" si="317"/>
        <v>7.1101924155242214E-3</v>
      </c>
      <c r="M665" s="178">
        <f t="shared" si="300"/>
        <v>82027.210000000021</v>
      </c>
      <c r="N665" s="180">
        <f t="shared" si="324"/>
        <v>0.27342403333333343</v>
      </c>
      <c r="O665" s="179">
        <f t="shared" si="321"/>
        <v>9.7053574514091398E-2</v>
      </c>
      <c r="P665" s="178" t="b">
        <f t="shared" si="302"/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si="323"/>
        <v>81541.25</v>
      </c>
      <c r="T665" s="170">
        <v>-32866</v>
      </c>
      <c r="U665" s="170">
        <f t="shared" si="327"/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si="322"/>
        <v>0.81050462534007905</v>
      </c>
      <c r="Y665" s="171">
        <f t="shared" si="328"/>
        <v>0.35624048064714403</v>
      </c>
      <c r="Z665" s="784">
        <f t="shared" si="325"/>
        <v>-4.9800410646042903E-2</v>
      </c>
    </row>
    <row r="666" spans="1:26" ht="20.100000000000001" customHeight="1" x14ac:dyDescent="0.25">
      <c r="A666" s="160">
        <f t="shared" si="320"/>
        <v>1030</v>
      </c>
      <c r="B666" s="169">
        <v>43263</v>
      </c>
      <c r="C666" s="211">
        <v>2786.85</v>
      </c>
      <c r="D666" s="168">
        <f t="shared" si="326"/>
        <v>1.7433501078360566E-3</v>
      </c>
      <c r="E666" s="205">
        <f t="shared" si="299"/>
        <v>0.32553128745647908</v>
      </c>
      <c r="F666" s="215">
        <v>7703.79</v>
      </c>
      <c r="G666" s="168">
        <f t="shared" si="314"/>
        <v>5.7272138612413561E-3</v>
      </c>
      <c r="H666" s="199">
        <f t="shared" si="315"/>
        <v>0.51300940746705426</v>
      </c>
      <c r="I666" s="822">
        <v>383351.38</v>
      </c>
      <c r="J666" s="170">
        <v>300000</v>
      </c>
      <c r="K666" s="170">
        <f t="shared" si="316"/>
        <v>1324.1699999999837</v>
      </c>
      <c r="L666" s="168">
        <f t="shared" si="317"/>
        <v>3.4661667162398813E-3</v>
      </c>
      <c r="M666" s="178">
        <f t="shared" si="300"/>
        <v>83351.38</v>
      </c>
      <c r="N666" s="180">
        <f t="shared" si="324"/>
        <v>0.27783793333333334</v>
      </c>
      <c r="O666" s="179">
        <f t="shared" si="321"/>
        <v>9.8524568106796107E-2</v>
      </c>
      <c r="P666" s="178" t="b">
        <f t="shared" si="302"/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si="323"/>
        <v>85111.19</v>
      </c>
      <c r="T666" s="170">
        <v>-32722</v>
      </c>
      <c r="U666" s="170">
        <f t="shared" si="327"/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si="322"/>
        <v>0.81609965746088553</v>
      </c>
      <c r="Y666" s="171">
        <f t="shared" si="328"/>
        <v>0.36190538554584889</v>
      </c>
      <c r="Z666" s="784">
        <f t="shared" si="325"/>
        <v>-4.7693354123145737E-2</v>
      </c>
    </row>
    <row r="667" spans="1:26" ht="20.100000000000001" customHeight="1" x14ac:dyDescent="0.25">
      <c r="A667" s="160">
        <f t="shared" si="320"/>
        <v>1031</v>
      </c>
      <c r="B667" s="169">
        <v>43264</v>
      </c>
      <c r="C667" s="211">
        <v>2775.63</v>
      </c>
      <c r="D667" s="168">
        <f t="shared" si="326"/>
        <v>-4.0260509177027113E-3</v>
      </c>
      <c r="E667" s="205">
        <f t="shared" si="299"/>
        <v>0.32019463100017126</v>
      </c>
      <c r="F667" s="215">
        <v>7695.69</v>
      </c>
      <c r="G667" s="168">
        <f t="shared" si="314"/>
        <v>-1.0514305296484411E-3</v>
      </c>
      <c r="H667" s="199">
        <f t="shared" si="315"/>
        <v>0.51141858318439815</v>
      </c>
      <c r="I667" s="822">
        <v>383566.49</v>
      </c>
      <c r="J667" s="170">
        <v>300000</v>
      </c>
      <c r="K667" s="170">
        <f t="shared" si="316"/>
        <v>215.10999999998603</v>
      </c>
      <c r="L667" s="168">
        <f t="shared" si="317"/>
        <v>5.6113010470964272E-4</v>
      </c>
      <c r="M667" s="178">
        <f t="shared" si="300"/>
        <v>83566.489999999991</v>
      </c>
      <c r="N667" s="180">
        <f t="shared" si="324"/>
        <v>0.27855496666666663</v>
      </c>
      <c r="O667" s="179">
        <f t="shared" si="321"/>
        <v>9.8683027715809876E-2</v>
      </c>
      <c r="P667" s="178" t="b">
        <f t="shared" si="302"/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si="323"/>
        <v>97920.02999999997</v>
      </c>
      <c r="T667" s="170">
        <v>-32818</v>
      </c>
      <c r="U667" s="170">
        <f t="shared" si="327"/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si="322"/>
        <v>0.80239333109858757</v>
      </c>
      <c r="Y667" s="171">
        <f t="shared" si="328"/>
        <v>0.3627607095203717</v>
      </c>
      <c r="Z667" s="784">
        <f t="shared" si="325"/>
        <v>-4.1639664333504633E-2</v>
      </c>
    </row>
    <row r="668" spans="1:26" ht="20.100000000000001" customHeight="1" x14ac:dyDescent="0.25">
      <c r="A668" s="160">
        <f t="shared" si="320"/>
        <v>1032</v>
      </c>
      <c r="B668" s="169">
        <v>43265</v>
      </c>
      <c r="C668" s="211">
        <v>2782.49</v>
      </c>
      <c r="D668" s="168">
        <f t="shared" ref="D668:D685" si="329">(C668-C667)/C667</f>
        <v>2.4715109722836517E-3</v>
      </c>
      <c r="E668" s="205">
        <f t="shared" si="299"/>
        <v>0.32345750651623811</v>
      </c>
      <c r="F668" s="215">
        <v>7761.04</v>
      </c>
      <c r="G668" s="168">
        <f t="shared" ref="G668:G685" si="330">(F668-F667)/F667</f>
        <v>8.4917661704149161E-3</v>
      </c>
      <c r="H668" s="199">
        <f t="shared" ref="H668:H685" si="331">(F668-F$2)/F$2</f>
        <v>0.52425319637841983</v>
      </c>
      <c r="I668" s="822">
        <v>383755.49</v>
      </c>
      <c r="J668" s="170">
        <v>300000</v>
      </c>
      <c r="K668" s="170">
        <f t="shared" ref="K668:K685" si="332">I668-I667-J668+J667</f>
        <v>189</v>
      </c>
      <c r="L668" s="168">
        <f t="shared" ref="L668:L685" si="333">K668/I667</f>
        <v>4.9274377435839091E-4</v>
      </c>
      <c r="M668" s="178">
        <f t="shared" si="300"/>
        <v>83755.489999999991</v>
      </c>
      <c r="N668" s="180">
        <f t="shared" si="324"/>
        <v>0.27918496666666665</v>
      </c>
      <c r="O668" s="179">
        <f t="shared" si="321"/>
        <v>9.8810377010658909E-2</v>
      </c>
      <c r="P668" s="178" t="b">
        <f t="shared" si="302"/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si="323"/>
        <v>106245.93</v>
      </c>
      <c r="T668" s="170">
        <v>-32800</v>
      </c>
      <c r="U668" s="170">
        <f t="shared" si="327"/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si="322"/>
        <v>0.81036289725284272</v>
      </c>
      <c r="Y668" s="171">
        <f t="shared" si="328"/>
        <v>0.36350224424424604</v>
      </c>
      <c r="Z668" s="784">
        <f t="shared" si="325"/>
        <v>-4.4272539849571468E-2</v>
      </c>
    </row>
    <row r="669" spans="1:26" ht="20.100000000000001" customHeight="1" x14ac:dyDescent="0.25">
      <c r="A669" s="160">
        <f t="shared" si="320"/>
        <v>1033</v>
      </c>
      <c r="B669" s="169">
        <v>43266</v>
      </c>
      <c r="C669" s="211">
        <v>2779.66</v>
      </c>
      <c r="D669" s="168">
        <f t="shared" si="329"/>
        <v>-1.0170746345898557E-3</v>
      </c>
      <c r="E669" s="205">
        <f t="shared" si="299"/>
        <v>0.32211145145640291</v>
      </c>
      <c r="F669" s="215">
        <v>7746.37</v>
      </c>
      <c r="G669" s="168">
        <f t="shared" si="330"/>
        <v>-1.8902105903332636E-3</v>
      </c>
      <c r="H669" s="199">
        <f t="shared" si="331"/>
        <v>0.52137203684427602</v>
      </c>
      <c r="I669" s="822">
        <v>382086.2</v>
      </c>
      <c r="J669" s="170">
        <v>300000</v>
      </c>
      <c r="K669" s="170">
        <f t="shared" si="332"/>
        <v>-1669.289999999979</v>
      </c>
      <c r="L669" s="168">
        <f t="shared" si="333"/>
        <v>-4.3498791378853733E-3</v>
      </c>
      <c r="M669" s="178">
        <f t="shared" si="300"/>
        <v>82086.200000000012</v>
      </c>
      <c r="N669" s="180">
        <f t="shared" si="324"/>
        <v>0.27362066666666668</v>
      </c>
      <c r="O669" s="179">
        <f t="shared" si="321"/>
        <v>9.6747287996127779E-2</v>
      </c>
      <c r="P669" s="178" t="b">
        <f t="shared" si="302"/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si="323"/>
        <v>83263.290000000037</v>
      </c>
      <c r="T669" s="170">
        <v>-32770</v>
      </c>
      <c r="U669" s="170">
        <f t="shared" si="327"/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si="322"/>
        <v>0.80679864333878126</v>
      </c>
      <c r="Y669" s="171">
        <f t="shared" si="328"/>
        <v>0.35615750813758806</v>
      </c>
      <c r="Z669" s="784">
        <f t="shared" si="325"/>
        <v>-4.849078478973623E-2</v>
      </c>
    </row>
    <row r="670" spans="1:26" ht="20.100000000000001" customHeight="1" x14ac:dyDescent="0.25">
      <c r="A670" s="160">
        <f t="shared" si="320"/>
        <v>1036</v>
      </c>
      <c r="B670" s="169">
        <v>43269</v>
      </c>
      <c r="C670" s="211">
        <v>2773.75</v>
      </c>
      <c r="D670" s="168">
        <f t="shared" si="329"/>
        <v>-2.1261593144484775E-3</v>
      </c>
      <c r="E670" s="205">
        <f t="shared" si="299"/>
        <v>0.31930043187914992</v>
      </c>
      <c r="F670" s="215">
        <v>7747.02</v>
      </c>
      <c r="G670" s="168">
        <f t="shared" si="330"/>
        <v>8.3910270229868404E-5</v>
      </c>
      <c r="H670" s="199">
        <f t="shared" si="331"/>
        <v>0.52149969558300779</v>
      </c>
      <c r="I670" s="822">
        <v>381438.85</v>
      </c>
      <c r="J670" s="170">
        <v>300000</v>
      </c>
      <c r="K670" s="170">
        <f t="shared" si="332"/>
        <v>-647.35000000003492</v>
      </c>
      <c r="L670" s="168">
        <f t="shared" si="333"/>
        <v>-1.6942511925320384E-3</v>
      </c>
      <c r="M670" s="178">
        <f t="shared" si="300"/>
        <v>81438.849999999977</v>
      </c>
      <c r="N670" s="180">
        <f t="shared" si="324"/>
        <v>0.27146283333333326</v>
      </c>
      <c r="O670" s="179">
        <f t="shared" si="321"/>
        <v>9.5706370535714264E-2</v>
      </c>
      <c r="P670" s="178" t="b">
        <f t="shared" si="302"/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si="323"/>
        <v>94390.709999999963</v>
      </c>
      <c r="T670" s="170">
        <v>-33106</v>
      </c>
      <c r="U670" s="170">
        <f t="shared" si="327"/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si="322"/>
        <v>0.79798986219092249</v>
      </c>
      <c r="Y670" s="171">
        <f t="shared" ref="Y670:Y685" si="334">O670/W670</f>
        <v>0.35258514222842952</v>
      </c>
      <c r="Z670" s="784">
        <f t="shared" si="325"/>
        <v>-4.7837598545816651E-2</v>
      </c>
    </row>
    <row r="671" spans="1:26" ht="20.100000000000001" customHeight="1" x14ac:dyDescent="0.25">
      <c r="A671" s="160">
        <f t="shared" si="320"/>
        <v>1037</v>
      </c>
      <c r="B671" s="169">
        <v>43270</v>
      </c>
      <c r="C671" s="211">
        <v>2762.59</v>
      </c>
      <c r="D671" s="168">
        <f t="shared" si="329"/>
        <v>-4.023433979269889E-3</v>
      </c>
      <c r="E671" s="205">
        <f t="shared" si="299"/>
        <v>0.3139923136926619</v>
      </c>
      <c r="F671" s="215">
        <v>7725.58</v>
      </c>
      <c r="G671" s="168">
        <f t="shared" si="330"/>
        <v>-2.7675157673531896E-3</v>
      </c>
      <c r="H671" s="199">
        <f t="shared" si="331"/>
        <v>0.51728892118545877</v>
      </c>
      <c r="I671" s="822">
        <v>382081.51</v>
      </c>
      <c r="J671" s="170">
        <v>300000</v>
      </c>
      <c r="K671" s="170">
        <f t="shared" si="332"/>
        <v>642.6600000000326</v>
      </c>
      <c r="L671" s="168">
        <f t="shared" si="333"/>
        <v>1.6848310024006013E-3</v>
      </c>
      <c r="M671" s="178">
        <f t="shared" si="300"/>
        <v>82081.510000000009</v>
      </c>
      <c r="N671" s="180">
        <f t="shared" si="324"/>
        <v>0.27360503333333336</v>
      </c>
      <c r="O671" s="179">
        <f t="shared" si="321"/>
        <v>9.636860021697205E-2</v>
      </c>
      <c r="P671" s="178" t="b">
        <f t="shared" si="302"/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si="323"/>
        <v>88750.72000000003</v>
      </c>
      <c r="T671" s="170">
        <v>-32722</v>
      </c>
      <c r="U671" s="170">
        <f t="shared" si="327"/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si="322"/>
        <v>0.78440558773622837</v>
      </c>
      <c r="Y671" s="171">
        <f t="shared" si="334"/>
        <v>0.35528981091461798</v>
      </c>
      <c r="Z671" s="784">
        <f t="shared" si="325"/>
        <v>-4.0387280359328537E-2</v>
      </c>
    </row>
    <row r="672" spans="1:26" ht="20.100000000000001" customHeight="1" x14ac:dyDescent="0.25">
      <c r="A672" s="160">
        <f t="shared" si="320"/>
        <v>1038</v>
      </c>
      <c r="B672" s="169">
        <v>43271</v>
      </c>
      <c r="C672" s="211">
        <v>2767.32</v>
      </c>
      <c r="D672" s="168">
        <f t="shared" si="329"/>
        <v>1.712161413745803E-3</v>
      </c>
      <c r="E672" s="205">
        <f t="shared" si="299"/>
        <v>0.31624208063012504</v>
      </c>
      <c r="F672" s="215">
        <v>7781.51</v>
      </c>
      <c r="G672" s="168">
        <f t="shared" si="330"/>
        <v>7.2395858951690732E-3</v>
      </c>
      <c r="H672" s="199">
        <f t="shared" si="331"/>
        <v>0.52827346465816927</v>
      </c>
      <c r="I672" s="822">
        <v>384754.19</v>
      </c>
      <c r="J672" s="170">
        <v>300000</v>
      </c>
      <c r="K672" s="170">
        <f t="shared" si="332"/>
        <v>2672.679999999993</v>
      </c>
      <c r="L672" s="168">
        <f t="shared" si="333"/>
        <v>6.9950519196806801E-3</v>
      </c>
      <c r="M672" s="178">
        <f t="shared" si="300"/>
        <v>84754.19</v>
      </c>
      <c r="N672" s="180">
        <f t="shared" si="324"/>
        <v>0.28251396666666667</v>
      </c>
      <c r="O672" s="179">
        <f t="shared" si="321"/>
        <v>9.9410622663776496E-2</v>
      </c>
      <c r="P672" s="178" t="b">
        <f t="shared" si="302"/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si="323"/>
        <v>111992.40999999997</v>
      </c>
      <c r="T672" s="170">
        <v>-32680</v>
      </c>
      <c r="U672" s="170">
        <f t="shared" si="327"/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si="322"/>
        <v>0.78984336003195033</v>
      </c>
      <c r="Y672" s="171">
        <f t="shared" si="334"/>
        <v>0.36674110913288216</v>
      </c>
      <c r="Z672" s="784">
        <f t="shared" si="325"/>
        <v>-3.3728113963458373E-2</v>
      </c>
    </row>
    <row r="673" spans="1:26" ht="20.100000000000001" customHeight="1" x14ac:dyDescent="0.25">
      <c r="A673" s="160">
        <f t="shared" si="320"/>
        <v>1039</v>
      </c>
      <c r="B673" s="169">
        <v>43272</v>
      </c>
      <c r="C673" s="211">
        <v>2749.76</v>
      </c>
      <c r="D673" s="168">
        <f t="shared" si="329"/>
        <v>-6.3454894988653077E-3</v>
      </c>
      <c r="E673" s="205">
        <f t="shared" si="299"/>
        <v>0.30788988032952197</v>
      </c>
      <c r="F673" s="215">
        <v>7712.95</v>
      </c>
      <c r="G673" s="168">
        <f t="shared" si="330"/>
        <v>-8.8106292994547843E-3</v>
      </c>
      <c r="H673" s="199">
        <f t="shared" si="331"/>
        <v>0.51480841369287278</v>
      </c>
      <c r="I673" s="822">
        <v>386790.11</v>
      </c>
      <c r="J673" s="170">
        <v>300000</v>
      </c>
      <c r="K673" s="170">
        <f t="shared" si="332"/>
        <v>2035.9199999999837</v>
      </c>
      <c r="L673" s="168">
        <f t="shared" si="333"/>
        <v>5.2914823357738706E-3</v>
      </c>
      <c r="M673" s="178">
        <f t="shared" si="300"/>
        <v>86790.109999999986</v>
      </c>
      <c r="N673" s="180">
        <f t="shared" si="324"/>
        <v>0.28930036666666664</v>
      </c>
      <c r="O673" s="179">
        <f t="shared" si="321"/>
        <v>0.10170063419153032</v>
      </c>
      <c r="P673" s="178" t="b">
        <f t="shared" si="302"/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si="323"/>
        <v>113268.26999999996</v>
      </c>
      <c r="T673" s="170">
        <v>-31908</v>
      </c>
      <c r="U673" s="170">
        <f t="shared" si="327"/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si="322"/>
        <v>0.76848071530722506</v>
      </c>
      <c r="Y673" s="171">
        <f t="shared" si="334"/>
        <v>0.37544870444555395</v>
      </c>
      <c r="Z673" s="784">
        <f t="shared" si="325"/>
        <v>-1.8589513662855328E-2</v>
      </c>
    </row>
    <row r="674" spans="1:26" ht="20.100000000000001" customHeight="1" x14ac:dyDescent="0.25">
      <c r="A674" s="160">
        <f t="shared" si="320"/>
        <v>1040</v>
      </c>
      <c r="B674" s="169">
        <v>43273</v>
      </c>
      <c r="C674" s="211">
        <v>2754.88</v>
      </c>
      <c r="D674" s="168">
        <f t="shared" si="329"/>
        <v>1.8619806819503849E-3</v>
      </c>
      <c r="E674" s="205">
        <f t="shared" si="299"/>
        <v>0.3103251460208139</v>
      </c>
      <c r="F674" s="215">
        <v>7692.81</v>
      </c>
      <c r="G674" s="168">
        <f t="shared" si="330"/>
        <v>-2.6111928639495157E-3</v>
      </c>
      <c r="H674" s="199">
        <f t="shared" si="331"/>
        <v>0.51085295677278719</v>
      </c>
      <c r="I674" s="822">
        <v>393809.39</v>
      </c>
      <c r="J674" s="170">
        <v>300000</v>
      </c>
      <c r="K674" s="170">
        <f t="shared" si="332"/>
        <v>7019.2800000000279</v>
      </c>
      <c r="L674" s="168">
        <f t="shared" si="333"/>
        <v>1.8147516750105189E-2</v>
      </c>
      <c r="M674" s="178">
        <f t="shared" si="300"/>
        <v>93809.390000000014</v>
      </c>
      <c r="N674" s="180">
        <f t="shared" si="324"/>
        <v>0.31269796666666672</v>
      </c>
      <c r="O674" s="179">
        <f t="shared" si="321"/>
        <v>0.10982012723557695</v>
      </c>
      <c r="P674" s="178" t="b">
        <f t="shared" si="302"/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si="323"/>
        <v>119430.79999999999</v>
      </c>
      <c r="T674" s="170">
        <v>-31374</v>
      </c>
      <c r="U674" s="170">
        <f t="shared" si="327"/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si="322"/>
        <v>0.77437669557314881</v>
      </c>
      <c r="Y674" s="171">
        <f t="shared" si="334"/>
        <v>0.40540777367822317</v>
      </c>
      <c r="Z674" s="784">
        <f t="shared" si="325"/>
        <v>2.3728206458528134E-3</v>
      </c>
    </row>
    <row r="675" spans="1:26" ht="20.100000000000001" customHeight="1" x14ac:dyDescent="0.25">
      <c r="A675" s="160">
        <f t="shared" ref="A675:A685" si="335">B675-$B$2</f>
        <v>1041</v>
      </c>
      <c r="B675" s="169">
        <v>43274</v>
      </c>
      <c r="C675" s="211">
        <v>2717.07</v>
      </c>
      <c r="D675" s="168">
        <f t="shared" si="329"/>
        <v>-1.3724735741665679E-2</v>
      </c>
      <c r="E675" s="205">
        <f t="shared" si="299"/>
        <v>0.29234127965601875</v>
      </c>
      <c r="F675" s="215">
        <v>7532</v>
      </c>
      <c r="G675" s="168">
        <f t="shared" si="330"/>
        <v>-2.0903934973046313E-2</v>
      </c>
      <c r="H675" s="199">
        <f t="shared" si="331"/>
        <v>0.47927018481057415</v>
      </c>
      <c r="I675" s="822">
        <v>389217.82</v>
      </c>
      <c r="J675" s="170">
        <v>300000</v>
      </c>
      <c r="K675" s="170">
        <f t="shared" si="332"/>
        <v>-4591.570000000007</v>
      </c>
      <c r="L675" s="168">
        <f t="shared" si="333"/>
        <v>-1.1659371555360848E-2</v>
      </c>
      <c r="M675" s="178">
        <f t="shared" si="300"/>
        <v>89217.82</v>
      </c>
      <c r="N675" s="180">
        <f t="shared" si="324"/>
        <v>0.29739273333333338</v>
      </c>
      <c r="O675" s="179">
        <f t="shared" ref="O675:O685" si="336">N675/(A675/365.25)</f>
        <v>0.10434456853986554</v>
      </c>
      <c r="P675" s="178" t="b">
        <f t="shared" si="302"/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si="323"/>
        <v>111667.02000000002</v>
      </c>
      <c r="T675" s="170">
        <v>-31574</v>
      </c>
      <c r="U675" s="170">
        <f t="shared" si="327"/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si="322"/>
        <v>0.72796080876750646</v>
      </c>
      <c r="Y675" s="171">
        <f t="shared" si="334"/>
        <v>0.38533195776680862</v>
      </c>
      <c r="Z675" s="784">
        <f t="shared" si="325"/>
        <v>5.0514536773146324E-3</v>
      </c>
    </row>
    <row r="676" spans="1:26" ht="20.100000000000001" customHeight="1" x14ac:dyDescent="0.25">
      <c r="A676" s="160">
        <f t="shared" si="335"/>
        <v>1044</v>
      </c>
      <c r="B676" s="169">
        <v>43277</v>
      </c>
      <c r="C676" s="211">
        <v>2723.06</v>
      </c>
      <c r="D676" s="168">
        <f t="shared" si="329"/>
        <v>2.2045806696182951E-3</v>
      </c>
      <c r="E676" s="205">
        <f t="shared" si="299"/>
        <v>0.2951903502596982</v>
      </c>
      <c r="F676" s="215">
        <v>7561.62</v>
      </c>
      <c r="G676" s="168">
        <f t="shared" si="330"/>
        <v>3.9325544344131561E-3</v>
      </c>
      <c r="H676" s="199">
        <f t="shared" si="331"/>
        <v>0.48508749533554613</v>
      </c>
      <c r="I676" s="822">
        <v>389379.96</v>
      </c>
      <c r="J676" s="170">
        <v>300000</v>
      </c>
      <c r="K676" s="170">
        <f t="shared" si="332"/>
        <v>162.14000000001397</v>
      </c>
      <c r="L676" s="168">
        <f t="shared" si="333"/>
        <v>4.165790764667814E-4</v>
      </c>
      <c r="M676" s="178">
        <f t="shared" si="300"/>
        <v>89379.960000000021</v>
      </c>
      <c r="N676" s="180">
        <f t="shared" si="324"/>
        <v>0.29793320000000006</v>
      </c>
      <c r="O676" s="179">
        <f t="shared" si="336"/>
        <v>0.10423381350574715</v>
      </c>
      <c r="P676" s="178" t="b">
        <f t="shared" si="302"/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si="323"/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si="322"/>
        <v>0.73346619555718418</v>
      </c>
      <c r="Y676" s="171">
        <f t="shared" si="334"/>
        <v>0.38520919785221641</v>
      </c>
      <c r="Z676" s="784">
        <f t="shared" si="325"/>
        <v>2.742849740301867E-3</v>
      </c>
    </row>
    <row r="677" spans="1:26" ht="20.100000000000001" customHeight="1" x14ac:dyDescent="0.25">
      <c r="A677" s="160">
        <f t="shared" si="335"/>
        <v>1045</v>
      </c>
      <c r="B677" s="169">
        <v>43278</v>
      </c>
      <c r="C677" s="211">
        <v>2699.23</v>
      </c>
      <c r="D677" s="168">
        <f t="shared" si="329"/>
        <v>-8.7511843293941113E-3</v>
      </c>
      <c r="E677" s="205">
        <f t="shared" si="299"/>
        <v>0.28385590076292305</v>
      </c>
      <c r="F677" s="215">
        <v>7445.08</v>
      </c>
      <c r="G677" s="168">
        <f t="shared" si="330"/>
        <v>-1.5412041335057827E-2</v>
      </c>
      <c r="H677" s="199">
        <f t="shared" si="331"/>
        <v>0.46219926547125717</v>
      </c>
      <c r="I677" s="822">
        <v>389218.36</v>
      </c>
      <c r="J677" s="170">
        <v>300000</v>
      </c>
      <c r="K677" s="170">
        <f t="shared" si="332"/>
        <v>-161.60000000003492</v>
      </c>
      <c r="L677" s="168">
        <f t="shared" si="333"/>
        <v>-4.1501879038673411E-4</v>
      </c>
      <c r="M677" s="178">
        <f t="shared" si="300"/>
        <v>89218.359999999986</v>
      </c>
      <c r="N677" s="180">
        <f t="shared" si="324"/>
        <v>0.29739453333333327</v>
      </c>
      <c r="O677" s="179">
        <f t="shared" si="336"/>
        <v>0.10394579263157892</v>
      </c>
      <c r="P677" s="178" t="b">
        <f t="shared" si="302"/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si="323"/>
        <v>101697.03999999998</v>
      </c>
      <c r="T677" s="170">
        <v>-31552</v>
      </c>
      <c r="U677" s="170">
        <f t="shared" ref="U677:U685" si="337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si="322"/>
        <v>0.70459261663957362</v>
      </c>
      <c r="Y677" s="171">
        <f t="shared" si="334"/>
        <v>0.38442897844932561</v>
      </c>
      <c r="Z677" s="784">
        <f t="shared" si="325"/>
        <v>1.3538632570410214E-2</v>
      </c>
    </row>
    <row r="678" spans="1:26" ht="20.100000000000001" customHeight="1" x14ac:dyDescent="0.25">
      <c r="A678" s="160">
        <f t="shared" si="335"/>
        <v>1046</v>
      </c>
      <c r="B678" s="169">
        <v>43279</v>
      </c>
      <c r="C678" s="211">
        <v>2716.31</v>
      </c>
      <c r="D678" s="168">
        <f t="shared" si="329"/>
        <v>6.3277305009206055E-3</v>
      </c>
      <c r="E678" s="205">
        <f t="shared" si="299"/>
        <v>0.2919797949049675</v>
      </c>
      <c r="F678" s="215">
        <v>7503.68</v>
      </c>
      <c r="G678" s="168">
        <f t="shared" si="330"/>
        <v>7.870969821680944E-3</v>
      </c>
      <c r="H678" s="199">
        <f t="shared" si="331"/>
        <v>0.4737081917630655</v>
      </c>
      <c r="I678" s="822">
        <v>385956.85</v>
      </c>
      <c r="J678" s="170">
        <v>300000</v>
      </c>
      <c r="K678" s="170">
        <f t="shared" si="332"/>
        <v>-3261.5100000000093</v>
      </c>
      <c r="L678" s="168">
        <f t="shared" si="333"/>
        <v>-8.3796406726548284E-3</v>
      </c>
      <c r="M678" s="178">
        <f t="shared" si="300"/>
        <v>85956.849999999977</v>
      </c>
      <c r="N678" s="180">
        <f t="shared" si="324"/>
        <v>0.28652283333333328</v>
      </c>
      <c r="O678" s="179">
        <f t="shared" si="336"/>
        <v>0.10005015762428296</v>
      </c>
      <c r="P678" s="178" t="b">
        <f t="shared" si="302"/>
        <v>0</v>
      </c>
      <c r="Q678" s="180">
        <f>COUNTIF(P$2:P678, TRUE)/(COUNTIF(P$2:P678,FALSE) + COUNTIF(P$2:P678, TRUE))</f>
        <v>0.50073855243722309</v>
      </c>
      <c r="R678" s="170">
        <v>300734.57</v>
      </c>
      <c r="S678" s="170">
        <f t="shared" si="323"/>
        <v>85222.27999999997</v>
      </c>
      <c r="T678" s="170">
        <v>-31828</v>
      </c>
      <c r="U678" s="170">
        <f t="shared" si="337"/>
        <v>117784.84999999998</v>
      </c>
      <c r="V678" s="180">
        <f>STDEV(D$2:D678)*SQRT(252)</f>
        <v>0.14075213595058755</v>
      </c>
      <c r="W678" s="180">
        <f>STDEV(L$2:L678)*SQRT(252)</f>
        <v>0.27024584552699632</v>
      </c>
      <c r="X678" s="171">
        <f t="shared" si="322"/>
        <v>0.7243631441355034</v>
      </c>
      <c r="Y678" s="171">
        <f t="shared" si="334"/>
        <v>0.37021904047841658</v>
      </c>
      <c r="Z678" s="784">
        <f t="shared" si="325"/>
        <v>-5.4569615716342224E-3</v>
      </c>
    </row>
    <row r="679" spans="1:26" ht="20.100000000000001" customHeight="1" x14ac:dyDescent="0.25">
      <c r="A679" s="160">
        <f t="shared" si="335"/>
        <v>1047</v>
      </c>
      <c r="B679" s="169">
        <v>43280</v>
      </c>
      <c r="C679" s="211">
        <v>2718.37</v>
      </c>
      <c r="D679" s="168">
        <f t="shared" si="329"/>
        <v>7.5838177527599773E-4</v>
      </c>
      <c r="E679" s="205">
        <f t="shared" si="299"/>
        <v>0.29295960883544825</v>
      </c>
      <c r="F679" s="215">
        <v>7510.3</v>
      </c>
      <c r="G679" s="168">
        <f t="shared" si="330"/>
        <v>8.8223378395665736E-4</v>
      </c>
      <c r="H679" s="199">
        <f t="shared" si="331"/>
        <v>0.47500834691753252</v>
      </c>
      <c r="I679" s="838">
        <v>386037.42</v>
      </c>
      <c r="J679" s="170">
        <v>300000</v>
      </c>
      <c r="K679" s="170">
        <f t="shared" si="332"/>
        <v>80.570000000006985</v>
      </c>
      <c r="L679" s="168">
        <f t="shared" si="333"/>
        <v>2.087539060389963E-4</v>
      </c>
      <c r="M679" s="462">
        <f t="shared" si="300"/>
        <v>86037.419999999984</v>
      </c>
      <c r="N679" s="180">
        <f t="shared" si="324"/>
        <v>0.28679139999999992</v>
      </c>
      <c r="O679" s="179">
        <f t="shared" si="336"/>
        <v>0.1000482892550143</v>
      </c>
      <c r="P679" s="178" t="b">
        <f t="shared" si="302"/>
        <v>0</v>
      </c>
      <c r="Q679" s="180">
        <f>COUNTIF(P$2:P679, TRUE)/(COUNTIF(P$2:P679,FALSE) + COUNTIF(P$2:P679, TRUE))</f>
        <v>0.5</v>
      </c>
      <c r="R679" s="170">
        <v>296502.8</v>
      </c>
      <c r="S679" s="170">
        <f t="shared" si="323"/>
        <v>89534.62</v>
      </c>
      <c r="T679" s="170">
        <v>-31984</v>
      </c>
      <c r="U679" s="170">
        <f t="shared" si="337"/>
        <v>118021.41999999998</v>
      </c>
      <c r="V679" s="180">
        <f>STDEV(D$2:D679)*SQRT(252)</f>
        <v>0.14064814386240324</v>
      </c>
      <c r="W679" s="180">
        <f>STDEV(L$2:L679)*SQRT(252)</f>
        <v>0.27004600526294353</v>
      </c>
      <c r="X679" s="171">
        <f t="shared" si="322"/>
        <v>0.72663662641063287</v>
      </c>
      <c r="Y679" s="171">
        <f t="shared" si="334"/>
        <v>0.37048609238858166</v>
      </c>
      <c r="Z679" s="784">
        <f t="shared" si="325"/>
        <v>-6.16820883544833E-3</v>
      </c>
    </row>
    <row r="680" spans="1:26" ht="20.100000000000001" customHeight="1" x14ac:dyDescent="0.25">
      <c r="A680" s="160">
        <f t="shared" si="335"/>
        <v>1050</v>
      </c>
      <c r="B680" s="169">
        <v>43283</v>
      </c>
      <c r="C680" s="211">
        <v>2726.71</v>
      </c>
      <c r="D680" s="168">
        <f t="shared" si="329"/>
        <v>3.0680150237091144E-3</v>
      </c>
      <c r="E680" s="205">
        <f t="shared" si="299"/>
        <v>0.29692642834040445</v>
      </c>
      <c r="F680" s="215">
        <v>7567.68</v>
      </c>
      <c r="G680" s="168">
        <f t="shared" si="330"/>
        <v>7.6401741608191562E-3</v>
      </c>
      <c r="H680" s="199">
        <f t="shared" si="331"/>
        <v>0.48627766757664448</v>
      </c>
      <c r="I680" s="822">
        <v>385840.77</v>
      </c>
      <c r="J680" s="170">
        <v>300000</v>
      </c>
      <c r="K680" s="170">
        <f t="shared" si="332"/>
        <v>-196.64999999996508</v>
      </c>
      <c r="L680" s="168">
        <f t="shared" si="333"/>
        <v>-5.0940657514487867E-4</v>
      </c>
      <c r="M680" s="178">
        <f t="shared" si="300"/>
        <v>85840.770000000019</v>
      </c>
      <c r="N680" s="180">
        <f t="shared" si="324"/>
        <v>0.28613590000000005</v>
      </c>
      <c r="O680" s="179">
        <f t="shared" si="336"/>
        <v>9.9534416642857157E-2</v>
      </c>
      <c r="P680" s="178" t="b">
        <f t="shared" si="302"/>
        <v>0</v>
      </c>
      <c r="Q680" s="180">
        <f>COUNTIF(P$2:P680, TRUE)/(COUNTIF(P$2:P680,FALSE) + COUNTIF(P$2:P680, TRUE))</f>
        <v>0.49926362297496318</v>
      </c>
      <c r="R680" s="170">
        <v>302561.11</v>
      </c>
      <c r="S680" s="170">
        <f t="shared" si="323"/>
        <v>83279.660000000033</v>
      </c>
      <c r="T680" s="170">
        <v>-32060</v>
      </c>
      <c r="U680" s="170">
        <f t="shared" si="337"/>
        <v>117900.77000000002</v>
      </c>
      <c r="V680" s="180">
        <f>STDEV(D$2:D680)*SQRT(252)</f>
        <v>0.14055350948419473</v>
      </c>
      <c r="W680" s="180">
        <f>STDEV(L$2:L680)*SQRT(252)</f>
        <v>0.26984737448960039</v>
      </c>
      <c r="X680" s="171">
        <f t="shared" si="322"/>
        <v>0.73486588403460684</v>
      </c>
      <c r="Y680" s="171">
        <f t="shared" si="334"/>
        <v>0.36885449351182442</v>
      </c>
      <c r="Z680" s="784">
        <f t="shared" si="325"/>
        <v>-1.0790528340404393E-2</v>
      </c>
    </row>
    <row r="681" spans="1:26" ht="20.100000000000001" customHeight="1" x14ac:dyDescent="0.25">
      <c r="A681" s="160">
        <f t="shared" si="335"/>
        <v>1051</v>
      </c>
      <c r="B681" s="169">
        <v>43284</v>
      </c>
      <c r="C681" s="211">
        <v>2713.22</v>
      </c>
      <c r="D681" s="168">
        <f t="shared" si="329"/>
        <v>-4.9473541374037708E-3</v>
      </c>
      <c r="E681" s="205">
        <f t="shared" si="299"/>
        <v>0.29051007400924628</v>
      </c>
      <c r="F681" s="215">
        <v>7502.67</v>
      </c>
      <c r="G681" s="168">
        <f t="shared" si="330"/>
        <v>-8.5904795128758371E-3</v>
      </c>
      <c r="H681" s="199">
        <f t="shared" si="331"/>
        <v>0.47350982972288241</v>
      </c>
      <c r="I681" s="822">
        <v>389787.46</v>
      </c>
      <c r="J681" s="170">
        <v>300000</v>
      </c>
      <c r="K681" s="170">
        <f t="shared" si="332"/>
        <v>3946.6900000000023</v>
      </c>
      <c r="L681" s="168">
        <f t="shared" si="333"/>
        <v>1.0228805006790759E-2</v>
      </c>
      <c r="M681" s="178">
        <f t="shared" si="300"/>
        <v>89787.460000000021</v>
      </c>
      <c r="N681" s="180">
        <f t="shared" si="324"/>
        <v>0.29929153333333341</v>
      </c>
      <c r="O681" s="179">
        <f t="shared" si="336"/>
        <v>0.10401163896289252</v>
      </c>
      <c r="P681" s="178" t="b">
        <f t="shared" si="302"/>
        <v>1</v>
      </c>
      <c r="Q681" s="180">
        <f>COUNTIF(P$2:P681, TRUE)/(COUNTIF(P$2:P681,FALSE) + COUNTIF(P$2:P681, TRUE))</f>
        <v>0.5</v>
      </c>
      <c r="R681" s="170">
        <v>288376.77</v>
      </c>
      <c r="S681" s="170">
        <f t="shared" ref="S681:S685" si="338">I681-R681</f>
        <v>101410.69</v>
      </c>
      <c r="T681" s="170">
        <v>-31900</v>
      </c>
      <c r="U681" s="170">
        <f t="shared" si="337"/>
        <v>121687.46000000002</v>
      </c>
      <c r="V681" s="180">
        <f>STDEV(D$2:D681)*SQRT(252)</f>
        <v>0.14048791411058481</v>
      </c>
      <c r="W681" s="180">
        <f>STDEV(L$2:L681)*SQRT(252)</f>
        <v>0.26971178795215239</v>
      </c>
      <c r="X681" s="171">
        <f t="shared" si="322"/>
        <v>0.71863727720044857</v>
      </c>
      <c r="Y681" s="171">
        <f t="shared" si="334"/>
        <v>0.38563994459650563</v>
      </c>
      <c r="Z681" s="784">
        <f t="shared" si="325"/>
        <v>8.7814593240871375E-3</v>
      </c>
    </row>
    <row r="682" spans="1:26" ht="20.100000000000001" customHeight="1" x14ac:dyDescent="0.25">
      <c r="A682" s="160">
        <f t="shared" si="335"/>
        <v>1053</v>
      </c>
      <c r="B682" s="169">
        <v>43286</v>
      </c>
      <c r="C682" s="211">
        <v>2736.61</v>
      </c>
      <c r="D682" s="168">
        <f t="shared" si="329"/>
        <v>8.6207532009937738E-3</v>
      </c>
      <c r="E682" s="205">
        <f t="shared" si="299"/>
        <v>0.30163524286067617</v>
      </c>
      <c r="F682" s="215">
        <v>7586.42</v>
      </c>
      <c r="G682" s="168">
        <f t="shared" si="330"/>
        <v>1.1162692748048361E-2</v>
      </c>
      <c r="H682" s="199">
        <f t="shared" si="331"/>
        <v>0.48995816721330798</v>
      </c>
      <c r="I682" s="822">
        <v>390550.57</v>
      </c>
      <c r="J682" s="170">
        <v>300000</v>
      </c>
      <c r="K682" s="170">
        <f t="shared" si="332"/>
        <v>763.10999999998603</v>
      </c>
      <c r="L682" s="168">
        <f t="shared" si="333"/>
        <v>1.9577592362770881E-3</v>
      </c>
      <c r="M682" s="178">
        <f t="shared" si="300"/>
        <v>90550.57</v>
      </c>
      <c r="N682" s="180">
        <f t="shared" si="324"/>
        <v>0.30183523333333334</v>
      </c>
      <c r="O682" s="179">
        <f t="shared" si="336"/>
        <v>0.10469640928300096</v>
      </c>
      <c r="P682" s="178" t="b">
        <f t="shared" si="302"/>
        <v>0</v>
      </c>
      <c r="Q682" s="180">
        <f>COUNTIF(P$2:P682, TRUE)/(COUNTIF(P$2:P682,FALSE) + COUNTIF(P$2:P682, TRUE))</f>
        <v>0.49926578560939794</v>
      </c>
      <c r="R682" s="170">
        <v>262947.86</v>
      </c>
      <c r="S682" s="170">
        <f t="shared" si="338"/>
        <v>127602.71000000002</v>
      </c>
      <c r="T682" s="170">
        <v>-31952</v>
      </c>
      <c r="U682" s="170">
        <f t="shared" si="337"/>
        <v>122502.57</v>
      </c>
      <c r="V682" s="180">
        <f>STDEV(D$2:D682)*SQRT(252)</f>
        <v>0.14047327528724421</v>
      </c>
      <c r="W682" s="180">
        <f>STDEV(L$2:L682)*SQRT(252)</f>
        <v>0.26951430387366743</v>
      </c>
      <c r="X682" s="171">
        <f t="shared" si="322"/>
        <v>0.74481810973934559</v>
      </c>
      <c r="Y682" s="171">
        <f t="shared" si="334"/>
        <v>0.38846327552275861</v>
      </c>
      <c r="Z682" s="784">
        <f t="shared" si="325"/>
        <v>1.999904726571744E-4</v>
      </c>
    </row>
    <row r="683" spans="1:26" ht="20.100000000000001" customHeight="1" x14ac:dyDescent="0.25">
      <c r="A683" s="160">
        <f t="shared" si="335"/>
        <v>1054</v>
      </c>
      <c r="B683" s="169">
        <v>43287</v>
      </c>
      <c r="C683" s="211">
        <v>2759.82</v>
      </c>
      <c r="D683" s="168">
        <f t="shared" si="329"/>
        <v>8.4812962022356251E-3</v>
      </c>
      <c r="E683" s="205">
        <f t="shared" si="299"/>
        <v>0.31267479690264649</v>
      </c>
      <c r="F683" s="215">
        <v>7688.38</v>
      </c>
      <c r="G683" s="168">
        <f t="shared" si="330"/>
        <v>1.3439804281861541E-2</v>
      </c>
      <c r="H683" s="199">
        <f t="shared" si="331"/>
        <v>0.50998291336881596</v>
      </c>
      <c r="I683" s="822">
        <v>394408.13</v>
      </c>
      <c r="J683" s="170">
        <v>300000</v>
      </c>
      <c r="K683" s="170">
        <f t="shared" si="332"/>
        <v>3857.5599999999977</v>
      </c>
      <c r="L683" s="168">
        <f t="shared" si="333"/>
        <v>9.8772356163761271E-3</v>
      </c>
      <c r="M683" s="178">
        <f t="shared" si="300"/>
        <v>94408.13</v>
      </c>
      <c r="N683" s="180">
        <f t="shared" si="324"/>
        <v>0.31469376666666671</v>
      </c>
      <c r="O683" s="179">
        <f t="shared" si="336"/>
        <v>0.10905303441650856</v>
      </c>
      <c r="P683" s="178" t="b">
        <f t="shared" si="302"/>
        <v>1</v>
      </c>
      <c r="Q683" s="180">
        <f>COUNTIF(P$2:P683, TRUE)/(COUNTIF(P$2:P683,FALSE) + COUNTIF(P$2:P683, TRUE))</f>
        <v>0.5</v>
      </c>
      <c r="R683" s="170">
        <v>226076.88</v>
      </c>
      <c r="S683" s="170">
        <f t="shared" si="338"/>
        <v>168331.25</v>
      </c>
      <c r="T683" s="170">
        <v>-31820</v>
      </c>
      <c r="U683" s="170">
        <f t="shared" si="337"/>
        <v>126228.13</v>
      </c>
      <c r="V683" s="180">
        <f>STDEV(D$2:D683)*SQRT(252)</f>
        <v>0.14045543259882526</v>
      </c>
      <c r="W683" s="180">
        <f>STDEV(L$2:L683)*SQRT(252)</f>
        <v>0.2693746812100854</v>
      </c>
      <c r="X683" s="171">
        <f t="shared" si="322"/>
        <v>0.77144318794023969</v>
      </c>
      <c r="Y683" s="171">
        <f t="shared" si="334"/>
        <v>0.40483772983645061</v>
      </c>
      <c r="Z683" s="784">
        <f t="shared" si="325"/>
        <v>2.0189697640202175E-3</v>
      </c>
    </row>
    <row r="684" spans="1:26" ht="20.100000000000001" customHeight="1" x14ac:dyDescent="0.25">
      <c r="A684" s="160">
        <f t="shared" si="335"/>
        <v>1057</v>
      </c>
      <c r="B684" s="169">
        <v>43290</v>
      </c>
      <c r="C684" s="211">
        <v>2784.17</v>
      </c>
      <c r="D684" s="168">
        <f t="shared" si="329"/>
        <v>8.8230391837148467E-3</v>
      </c>
      <c r="E684" s="205">
        <f t="shared" si="299"/>
        <v>0.32425657807119346</v>
      </c>
      <c r="F684" s="215">
        <v>7756.2</v>
      </c>
      <c r="G684" s="168">
        <f t="shared" si="330"/>
        <v>8.821104055730819E-3</v>
      </c>
      <c r="H684" s="199">
        <f t="shared" si="331"/>
        <v>0.52330262977001785</v>
      </c>
      <c r="I684" s="822">
        <v>396269.68</v>
      </c>
      <c r="J684" s="170">
        <v>300000</v>
      </c>
      <c r="K684" s="170">
        <f t="shared" si="332"/>
        <v>1861.5499999999884</v>
      </c>
      <c r="L684" s="168">
        <f t="shared" si="333"/>
        <v>4.7198570678550376E-3</v>
      </c>
      <c r="M684" s="178">
        <f t="shared" si="300"/>
        <v>96269.68</v>
      </c>
      <c r="N684" s="180">
        <f t="shared" si="324"/>
        <v>0.3208989333333333</v>
      </c>
      <c r="O684" s="179">
        <f t="shared" si="336"/>
        <v>0.11088773453169345</v>
      </c>
      <c r="P684" s="178" t="b">
        <f t="shared" si="302"/>
        <v>0</v>
      </c>
      <c r="Q684" s="180">
        <f>COUNTIF(P$2:P684, TRUE)/(COUNTIF(P$2:P684,FALSE) + COUNTIF(P$2:P684, TRUE))</f>
        <v>0.49926793557833088</v>
      </c>
      <c r="R684" s="170">
        <v>221497.05</v>
      </c>
      <c r="S684" s="170">
        <f t="shared" si="338"/>
        <v>174772.63</v>
      </c>
      <c r="T684" s="170">
        <v>-31748</v>
      </c>
      <c r="U684" s="170">
        <f t="shared" si="337"/>
        <v>128017.68</v>
      </c>
      <c r="V684" s="180">
        <f>STDEV(D$2:D684)*SQRT(252)</f>
        <v>0.14044477475064268</v>
      </c>
      <c r="W684" s="180">
        <f>STDEV(L$2:L684)*SQRT(252)</f>
        <v>0.2691881821835182</v>
      </c>
      <c r="X684" s="171">
        <f t="shared" si="322"/>
        <v>0.79780810973079075</v>
      </c>
      <c r="Y684" s="171">
        <f t="shared" si="334"/>
        <v>0.41193388815299509</v>
      </c>
      <c r="Z684" s="784">
        <f t="shared" si="325"/>
        <v>-3.3576447378601548E-3</v>
      </c>
    </row>
    <row r="685" spans="1:26" ht="20.100000000000001" customHeight="1" x14ac:dyDescent="0.25">
      <c r="A685" s="160">
        <f t="shared" si="335"/>
        <v>1058</v>
      </c>
      <c r="B685" s="169">
        <v>43291</v>
      </c>
      <c r="C685" s="211">
        <v>2793.84</v>
      </c>
      <c r="D685" s="168">
        <f t="shared" si="329"/>
        <v>3.4732074550045695E-3</v>
      </c>
      <c r="E685" s="205">
        <f t="shared" si="299"/>
        <v>0.32885599589048919</v>
      </c>
      <c r="F685" s="215">
        <v>7759.19</v>
      </c>
      <c r="G685" s="168">
        <f t="shared" si="330"/>
        <v>3.8549805317033881E-4</v>
      </c>
      <c r="H685" s="199">
        <f t="shared" si="331"/>
        <v>0.52388985996818349</v>
      </c>
      <c r="I685" s="822">
        <v>397186.29</v>
      </c>
      <c r="J685" s="170">
        <v>300000</v>
      </c>
      <c r="K685" s="170">
        <f t="shared" si="332"/>
        <v>916.60999999998603</v>
      </c>
      <c r="L685" s="168">
        <f t="shared" si="333"/>
        <v>2.3130964751075229E-3</v>
      </c>
      <c r="M685" s="178">
        <f t="shared" si="300"/>
        <v>97186.289999999979</v>
      </c>
      <c r="N685" s="180">
        <f t="shared" si="324"/>
        <v>0.32395429999999992</v>
      </c>
      <c r="O685" s="179">
        <f t="shared" si="336"/>
        <v>0.11183772029773154</v>
      </c>
      <c r="P685" s="178" t="b">
        <f t="shared" si="302"/>
        <v>0</v>
      </c>
      <c r="Q685" s="180">
        <f>COUNTIF(P$2:P685, TRUE)/(COUNTIF(P$2:P685,FALSE) + COUNTIF(P$2:P685, TRUE))</f>
        <v>0.49853801169590645</v>
      </c>
      <c r="R685" s="170">
        <v>201287.05</v>
      </c>
      <c r="S685" s="170">
        <f t="shared" si="338"/>
        <v>195899.24</v>
      </c>
      <c r="T685" s="170">
        <v>-31788</v>
      </c>
      <c r="U685" s="170">
        <f t="shared" si="337"/>
        <v>128974.28999999998</v>
      </c>
      <c r="V685" s="180">
        <f>STDEV(D$2:D685)*SQRT(252)</f>
        <v>0.14035377759574863</v>
      </c>
      <c r="W685" s="180">
        <f>STDEV(L$2:L685)*SQRT(252)</f>
        <v>0.26899263458634343</v>
      </c>
      <c r="X685" s="171">
        <f t="shared" si="322"/>
        <v>0.80888394484710457</v>
      </c>
      <c r="Y685" s="171">
        <f t="shared" si="334"/>
        <v>0.41576499099953224</v>
      </c>
      <c r="Z685" s="784">
        <f t="shared" si="325"/>
        <v>-4.9016958904892771E-3</v>
      </c>
    </row>
    <row r="686" spans="1:26" ht="20.100000000000001" customHeight="1" x14ac:dyDescent="0.25">
      <c r="A686" s="160">
        <f t="shared" ref="A686" si="339">B686-$B$2</f>
        <v>1059</v>
      </c>
      <c r="B686" s="169">
        <v>43292</v>
      </c>
      <c r="C686" s="211">
        <v>2774.02</v>
      </c>
      <c r="D686" s="168">
        <f t="shared" ref="D686" si="340">(C686-C685)/C685</f>
        <v>-7.094178621538872E-3</v>
      </c>
      <c r="E686" s="205">
        <f t="shared" ref="E686" si="341">(C686-$C$2)/$C$2</f>
        <v>0.3194288540933391</v>
      </c>
      <c r="F686" s="215">
        <v>7716.61</v>
      </c>
      <c r="G686" s="168">
        <f t="shared" ref="G686" si="342">(F686-F685)/F685</f>
        <v>-5.4876862146693052E-3</v>
      </c>
      <c r="H686" s="199">
        <f t="shared" ref="H686" si="343">(F686-F$2)/F$2</f>
        <v>0.51552723059096173</v>
      </c>
      <c r="I686" s="822">
        <v>394153.65</v>
      </c>
      <c r="J686" s="170">
        <v>300000</v>
      </c>
      <c r="K686" s="170">
        <f t="shared" ref="K686" si="344">I686-I685-J686+J685</f>
        <v>-3032.6399999999558</v>
      </c>
      <c r="L686" s="168">
        <f t="shared" ref="L686" si="345">K686/I685</f>
        <v>-7.6353088622468715E-3</v>
      </c>
      <c r="M686" s="178">
        <f t="shared" ref="M686" si="346">I686-J686</f>
        <v>94153.650000000023</v>
      </c>
      <c r="N686" s="180">
        <f t="shared" ref="N686" si="347">M686/J686</f>
        <v>0.31384550000000005</v>
      </c>
      <c r="O686" s="179">
        <f t="shared" ref="O686" si="348">N686/(A686/365.25)</f>
        <v>0.10824557967422098</v>
      </c>
      <c r="P686" s="178" t="b">
        <f t="shared" ref="P686" si="349">L686&gt;D686</f>
        <v>0</v>
      </c>
      <c r="Q686" s="180">
        <f>COUNTIF(P$2:P686, TRUE)/(COUNTIF(P$2:P686,FALSE) + COUNTIF(P$2:P686, TRUE))</f>
        <v>0.49781021897810218</v>
      </c>
      <c r="R686" s="170">
        <v>218821.94</v>
      </c>
      <c r="S686" s="170">
        <f t="shared" ref="S686" si="350">I686-R686</f>
        <v>175331.71000000002</v>
      </c>
      <c r="T686" s="170">
        <v>-31948</v>
      </c>
      <c r="U686" s="170">
        <f t="shared" ref="U686" si="351">M686-T686</f>
        <v>126101.65000000002</v>
      </c>
      <c r="V686" s="180">
        <f>STDEV(D$2:D686)*SQRT(252)</f>
        <v>0.1403258328218375</v>
      </c>
      <c r="W686" s="180">
        <f>STDEV(L$2:L686)*SQRT(252)</f>
        <v>0.26884281071905403</v>
      </c>
      <c r="X686" s="171">
        <f t="shared" ref="X686" si="352">E686/(A686/365.25)/V686</f>
        <v>0.78511048914244463</v>
      </c>
      <c r="Y686" s="171">
        <f t="shared" ref="Y686" si="353">O686/W686</f>
        <v>0.40263520301958056</v>
      </c>
      <c r="Z686" s="784">
        <f t="shared" ref="Z686" si="354">-(E686-N686)</f>
        <v>-5.5833540933390435E-3</v>
      </c>
    </row>
    <row r="687" spans="1:26" ht="20.100000000000001" customHeight="1" x14ac:dyDescent="0.25">
      <c r="A687" s="160">
        <f t="shared" ref="A687" si="355">B687-$B$2</f>
        <v>1060</v>
      </c>
      <c r="B687" s="169">
        <v>43293</v>
      </c>
      <c r="C687" s="211">
        <v>2798.29</v>
      </c>
      <c r="D687" s="168">
        <f t="shared" ref="D687" si="356">(C687-C686)/C686</f>
        <v>8.749035695488851E-3</v>
      </c>
      <c r="E687" s="205">
        <f t="shared" ref="E687" si="357">(C687-$C$2)/$C$2</f>
        <v>0.33097258423545972</v>
      </c>
      <c r="F687" s="215">
        <v>7823.91</v>
      </c>
      <c r="G687" s="168">
        <f t="shared" ref="G687" si="358">(F687-F686)/F686</f>
        <v>1.3905069713254939E-2</v>
      </c>
      <c r="H687" s="199">
        <f t="shared" ref="H687" si="359">(F687-F$2)/F$2</f>
        <v>0.53660074238466526</v>
      </c>
      <c r="I687" s="822">
        <v>395295.9</v>
      </c>
      <c r="J687" s="170">
        <v>300000</v>
      </c>
      <c r="K687" s="170">
        <f t="shared" ref="K687" si="360">I687-I686-J687+J686</f>
        <v>1142.25</v>
      </c>
      <c r="L687" s="168">
        <f t="shared" ref="L687" si="361">K687/I686</f>
        <v>2.8979815358807408E-3</v>
      </c>
      <c r="M687" s="178">
        <f t="shared" ref="M687" si="362">I687-J687</f>
        <v>95295.900000000023</v>
      </c>
      <c r="N687" s="180">
        <f t="shared" ref="N687" si="363">M687/J687</f>
        <v>0.31765300000000007</v>
      </c>
      <c r="O687" s="179">
        <f t="shared" ref="O687" si="364">N687/(A687/365.25)</f>
        <v>0.10945543231132078</v>
      </c>
      <c r="P687" s="178" t="b">
        <f t="shared" ref="P687" si="365">L687&gt;D687</f>
        <v>0</v>
      </c>
      <c r="Q687" s="180">
        <f>COUNTIF(P$2:P687, TRUE)/(COUNTIF(P$2:P687,FALSE) + COUNTIF(P$2:P687, TRUE))</f>
        <v>0.49708454810495628</v>
      </c>
      <c r="R687" s="170">
        <v>215692.65</v>
      </c>
      <c r="S687" s="170">
        <f t="shared" ref="S687" si="366">I687-R687</f>
        <v>179603.25000000003</v>
      </c>
      <c r="T687" s="170">
        <v>-31904</v>
      </c>
      <c r="U687" s="170">
        <f t="shared" ref="U687" si="367">M687-T687</f>
        <v>127199.90000000002</v>
      </c>
      <c r="V687" s="180">
        <f>STDEV(D$2:D687)*SQRT(252)</f>
        <v>0.14031365874172999</v>
      </c>
      <c r="W687" s="180">
        <f>STDEV(L$2:L687)*SQRT(252)</f>
        <v>0.26864967909317089</v>
      </c>
      <c r="X687" s="171">
        <f t="shared" ref="X687" si="368">E687/(A687/365.25)/V687</f>
        <v>0.81278640550593428</v>
      </c>
      <c r="Y687" s="171">
        <f t="shared" ref="Y687" si="369">O687/W687</f>
        <v>0.40742811486240538</v>
      </c>
      <c r="Z687" s="784">
        <f t="shared" ref="Z687" si="370">-(E687-N687)</f>
        <v>-1.3319584235459647E-2</v>
      </c>
    </row>
    <row r="688" spans="1:26" ht="20.100000000000001" customHeight="1" x14ac:dyDescent="0.25">
      <c r="A688" s="160">
        <f t="shared" ref="A688" si="371">B688-$B$2</f>
        <v>1061</v>
      </c>
      <c r="B688" s="169">
        <v>43294</v>
      </c>
      <c r="C688" s="211">
        <v>2801.31</v>
      </c>
      <c r="D688" s="168">
        <f t="shared" ref="D688" si="372">(C688-C687)/C687</f>
        <v>1.0792305300737172E-3</v>
      </c>
      <c r="E688" s="205">
        <f t="shared" ref="E688" si="373">(C688-$C$2)/$C$2</f>
        <v>0.33240901048305771</v>
      </c>
      <c r="F688" s="215">
        <v>7825.97</v>
      </c>
      <c r="G688" s="168">
        <f t="shared" ref="G688" si="374">(F688-F687)/F687</f>
        <v>2.6329546224335403E-4</v>
      </c>
      <c r="H688" s="199">
        <f t="shared" ref="H688" si="375">(F688-F$2)/F$2</f>
        <v>0.53700532238741494</v>
      </c>
      <c r="I688" s="822">
        <v>396222.85</v>
      </c>
      <c r="J688" s="170">
        <v>300000</v>
      </c>
      <c r="K688" s="170">
        <f t="shared" ref="K688" si="376">I688-I687-J688+J687</f>
        <v>926.94999999995343</v>
      </c>
      <c r="L688" s="168">
        <f t="shared" ref="L688" si="377">K688/I687</f>
        <v>2.3449522243968466E-3</v>
      </c>
      <c r="M688" s="178">
        <f t="shared" ref="M688" si="378">I688-J688</f>
        <v>96222.849999999977</v>
      </c>
      <c r="N688" s="180">
        <f t="shared" ref="N688" si="379">M688/J688</f>
        <v>0.32074283333333325</v>
      </c>
      <c r="O688" s="179">
        <f t="shared" ref="O688" si="380">N688/(A688/365.25)</f>
        <v>0.11041594710179073</v>
      </c>
      <c r="P688" s="178" t="b">
        <f t="shared" ref="P688" si="381">L688&gt;D688</f>
        <v>1</v>
      </c>
      <c r="Q688" s="180">
        <f>COUNTIF(P$2:P688, TRUE)/(COUNTIF(P$2:P688,FALSE) + COUNTIF(P$2:P688, TRUE))</f>
        <v>0.49781659388646288</v>
      </c>
      <c r="R688" s="170">
        <v>226261.05</v>
      </c>
      <c r="S688" s="170">
        <f t="shared" ref="S688" si="382">I688-R688</f>
        <v>169961.8</v>
      </c>
      <c r="T688" s="170">
        <v>-32319</v>
      </c>
      <c r="U688" s="170">
        <f t="shared" ref="U688" si="383">M688-T688</f>
        <v>128541.84999999998</v>
      </c>
      <c r="V688" s="180">
        <f>STDEV(D$2:D688)*SQRT(252)</f>
        <v>0.14021171061753313</v>
      </c>
      <c r="W688" s="180">
        <f>STDEV(L$2:L688)*SQRT(252)</f>
        <v>0.26845547284380461</v>
      </c>
      <c r="X688" s="171">
        <f t="shared" ref="X688" si="384">E688/(A688/365.25)/V688</f>
        <v>0.81613751325179795</v>
      </c>
      <c r="Y688" s="171">
        <f t="shared" ref="Y688" si="385">O688/W688</f>
        <v>0.41130078642886903</v>
      </c>
      <c r="Z688" s="784">
        <f t="shared" ref="Z688" si="386">-(E688-N688)</f>
        <v>-1.1666177149724455E-2</v>
      </c>
    </row>
    <row r="689" spans="1:26" ht="20.100000000000001" customHeight="1" x14ac:dyDescent="0.25">
      <c r="A689" s="160">
        <f t="shared" ref="A689" si="387">B689-$B$2</f>
        <v>1064</v>
      </c>
      <c r="B689" s="169">
        <v>43297</v>
      </c>
      <c r="C689" s="211">
        <v>2798.43</v>
      </c>
      <c r="D689" s="168">
        <f t="shared" ref="D689" si="388">(C689-C688)/C688</f>
        <v>-1.0280904291207003E-3</v>
      </c>
      <c r="E689" s="205">
        <f t="shared" ref="E689" si="389">(C689-$C$2)/$C$2</f>
        <v>0.33103917353170592</v>
      </c>
      <c r="F689" s="215">
        <v>7805.71</v>
      </c>
      <c r="G689" s="168">
        <f t="shared" ref="G689" si="390">(F689-F688)/F688</f>
        <v>-2.5888164662016618E-3</v>
      </c>
      <c r="H689" s="199">
        <f t="shared" ref="H689" si="391">(F689-F$2)/F$2</f>
        <v>0.53302629770017873</v>
      </c>
      <c r="I689" s="822">
        <v>392316.49</v>
      </c>
      <c r="J689" s="170">
        <v>300000</v>
      </c>
      <c r="K689" s="170">
        <f t="shared" ref="K689" si="392">I689-I688-J689+J688</f>
        <v>-3906.359999999986</v>
      </c>
      <c r="L689" s="168">
        <f t="shared" ref="L689" si="393">K689/I688</f>
        <v>-9.8589972789302448E-3</v>
      </c>
      <c r="M689" s="178">
        <f t="shared" ref="M689" si="394">I689-J689</f>
        <v>92316.489999999991</v>
      </c>
      <c r="N689" s="180">
        <f t="shared" ref="N689" si="395">M689/J689</f>
        <v>0.3077216333333333</v>
      </c>
      <c r="O689" s="179">
        <f t="shared" ref="O689" si="396">N689/(A689/365.25)</f>
        <v>0.10563470542763156</v>
      </c>
      <c r="P689" s="178" t="b">
        <f t="shared" ref="P689" si="397">L689&gt;D689</f>
        <v>0</v>
      </c>
      <c r="Q689" s="180">
        <f>COUNTIF(P$2:P689, TRUE)/(COUNTIF(P$2:P689,FALSE) + COUNTIF(P$2:P689, TRUE))</f>
        <v>0.49709302325581395</v>
      </c>
      <c r="R689" s="170">
        <v>248251.44</v>
      </c>
      <c r="S689" s="170">
        <f t="shared" ref="S689" si="398">I689-R689</f>
        <v>144065.04999999999</v>
      </c>
      <c r="T689" s="170">
        <v>-32475</v>
      </c>
      <c r="U689" s="170">
        <f t="shared" ref="U689" si="399">M689-T689</f>
        <v>124791.48999999999</v>
      </c>
      <c r="V689" s="180">
        <f>STDEV(D$2:D689)*SQRT(252)</f>
        <v>0.14011236678602129</v>
      </c>
      <c r="W689" s="180">
        <f>STDEV(L$2:L689)*SQRT(252)</f>
        <v>0.2683352993857776</v>
      </c>
      <c r="X689" s="171">
        <f t="shared" ref="X689" si="400">E689/(A689/365.25)/V689</f>
        <v>0.81105726058911287</v>
      </c>
      <c r="Y689" s="171">
        <f t="shared" ref="Y689" si="401">O689/W689</f>
        <v>0.39366682530934449</v>
      </c>
      <c r="Z689" s="784">
        <f t="shared" ref="Z689" si="402">-(E689-N689)</f>
        <v>-2.3317540198372622E-2</v>
      </c>
    </row>
    <row r="690" spans="1:26" ht="20.100000000000001" customHeight="1" x14ac:dyDescent="0.25">
      <c r="A690" s="160">
        <f t="shared" ref="A690" si="403">B690-$B$2</f>
        <v>1065</v>
      </c>
      <c r="B690" s="169">
        <v>43298</v>
      </c>
      <c r="C690" s="211">
        <v>2809.55</v>
      </c>
      <c r="D690" s="168">
        <f t="shared" ref="D690" si="404">(C690-C689)/C689</f>
        <v>3.9736566574830696E-3</v>
      </c>
      <c r="E690" s="205">
        <f t="shared" ref="E690" si="405">(C690-$C$2)/$C$2</f>
        <v>0.33632826620498091</v>
      </c>
      <c r="F690" s="215">
        <v>7855.11</v>
      </c>
      <c r="G690" s="168">
        <f t="shared" ref="G690" si="406">(F690-F689)/F689</f>
        <v>6.3287004000916807E-3</v>
      </c>
      <c r="H690" s="199">
        <f t="shared" ref="H690" si="407">(F690-F$2)/F$2</f>
        <v>0.54272836184378492</v>
      </c>
      <c r="I690" s="822">
        <v>393640.6</v>
      </c>
      <c r="J690" s="170">
        <v>300000</v>
      </c>
      <c r="K690" s="170">
        <f t="shared" ref="K690" si="408">I690-I689-J690+J689</f>
        <v>1324.109999999986</v>
      </c>
      <c r="L690" s="168">
        <f t="shared" ref="L690" si="409">K690/I689</f>
        <v>3.3751066645197249E-3</v>
      </c>
      <c r="M690" s="178">
        <f t="shared" ref="M690" si="410">I690-J690</f>
        <v>93640.599999999977</v>
      </c>
      <c r="N690" s="180">
        <f t="shared" ref="N690" si="411">M690/J690</f>
        <v>0.31213533333333326</v>
      </c>
      <c r="O690" s="179">
        <f t="shared" ref="O690" si="412">N690/(A690/365.25)</f>
        <v>0.10704923051643191</v>
      </c>
      <c r="P690" s="178" t="b">
        <f t="shared" ref="P690" si="413">L690&gt;D690</f>
        <v>0</v>
      </c>
      <c r="Q690" s="180">
        <f>COUNTIF(P$2:P690, TRUE)/(COUNTIF(P$2:P690,FALSE) + COUNTIF(P$2:P690, TRUE))</f>
        <v>0.49637155297532654</v>
      </c>
      <c r="R690" s="170">
        <v>254153.13</v>
      </c>
      <c r="S690" s="170">
        <f t="shared" ref="S690" si="414">I690-R690</f>
        <v>139487.46999999997</v>
      </c>
      <c r="T690" s="170">
        <v>-32387</v>
      </c>
      <c r="U690" s="170">
        <f t="shared" ref="U690" si="415">M690-T690</f>
        <v>126027.59999999998</v>
      </c>
      <c r="V690" s="180">
        <f>STDEV(D$2:D690)*SQRT(252)</f>
        <v>0.14002654726015454</v>
      </c>
      <c r="W690" s="180">
        <f>STDEV(L$2:L690)*SQRT(252)</f>
        <v>0.26814504427740948</v>
      </c>
      <c r="X690" s="171">
        <f t="shared" ref="X690" si="416">E690/(A690/365.25)/V690</f>
        <v>0.82374654315017448</v>
      </c>
      <c r="Y690" s="171">
        <f t="shared" ref="Y690" si="417">O690/W690</f>
        <v>0.39922136470918373</v>
      </c>
      <c r="Z690" s="784">
        <f t="shared" ref="Z690" si="418">-(E690-N690)</f>
        <v>-2.4192932871647643E-2</v>
      </c>
    </row>
    <row r="691" spans="1:26" ht="20.100000000000001" customHeight="1" x14ac:dyDescent="0.25">
      <c r="A691" s="160">
        <f t="shared" ref="A691" si="419">B691-$B$2</f>
        <v>1066</v>
      </c>
      <c r="B691" s="169">
        <v>43299</v>
      </c>
      <c r="C691" s="211">
        <v>2815.62</v>
      </c>
      <c r="D691" s="168">
        <f t="shared" ref="D691" si="420">(C691-C690)/C690</f>
        <v>2.1604883344306771E-3</v>
      </c>
      <c r="E691" s="205">
        <f t="shared" ref="E691" si="421">(C691-$C$2)/$C$2</f>
        <v>0.33921538783508676</v>
      </c>
      <c r="F691" s="215">
        <v>7854.44</v>
      </c>
      <c r="G691" s="168">
        <f t="shared" ref="G691" si="422">(F691-F690)/F690</f>
        <v>-8.5294795362518509E-5</v>
      </c>
      <c r="H691" s="199">
        <f t="shared" ref="H691" si="423">(F691-F$2)/F$2</f>
        <v>0.54259677514386151</v>
      </c>
      <c r="I691" s="822">
        <v>393399.1</v>
      </c>
      <c r="J691" s="170">
        <v>300000</v>
      </c>
      <c r="K691" s="170">
        <f t="shared" ref="K691" si="424">I691-I690-J691+J690</f>
        <v>-241.5</v>
      </c>
      <c r="L691" s="168">
        <f t="shared" ref="L691" si="425">K691/I690</f>
        <v>-6.1350379000540088E-4</v>
      </c>
      <c r="M691" s="178">
        <f t="shared" ref="M691" si="426">I691-J691</f>
        <v>93399.099999999977</v>
      </c>
      <c r="N691" s="180">
        <f t="shared" ref="N691" si="427">M691/J691</f>
        <v>0.31133033333333326</v>
      </c>
      <c r="O691" s="179">
        <f t="shared" ref="O691" si="428">N691/(A691/365.25)</f>
        <v>0.1066729871013133</v>
      </c>
      <c r="P691" s="178" t="b">
        <f t="shared" ref="P691" si="429">L691&gt;D691</f>
        <v>0</v>
      </c>
      <c r="Q691" s="180">
        <f>COUNTIF(P$2:P691, TRUE)/(COUNTIF(P$2:P691,FALSE) + COUNTIF(P$2:P691, TRUE))</f>
        <v>0.4956521739130435</v>
      </c>
      <c r="R691" s="170">
        <v>247098.07</v>
      </c>
      <c r="S691" s="170">
        <f t="shared" ref="S691" si="430">I691-R691</f>
        <v>146301.02999999997</v>
      </c>
      <c r="T691" s="170">
        <v>-32575</v>
      </c>
      <c r="U691" s="170">
        <f t="shared" ref="U691" si="431">M691-T691</f>
        <v>125974.09999999998</v>
      </c>
      <c r="V691" s="180">
        <f>STDEV(D$2:D691)*SQRT(252)</f>
        <v>0.13992852439635978</v>
      </c>
      <c r="W691" s="180">
        <f>STDEV(L$2:L691)*SQRT(252)</f>
        <v>0.26795117899797427</v>
      </c>
      <c r="X691" s="171">
        <f t="shared" ref="X691" si="432">E691/(A691/365.25)/V691</f>
        <v>0.8306198594230717</v>
      </c>
      <c r="Y691" s="171">
        <f t="shared" ref="Y691" si="433">O691/W691</f>
        <v>0.39810605611151184</v>
      </c>
      <c r="Z691" s="784">
        <f t="shared" ref="Z691" si="434">-(E691-N691)</f>
        <v>-2.7885054501753492E-2</v>
      </c>
    </row>
    <row r="692" spans="1:26" ht="20.100000000000001" customHeight="1" x14ac:dyDescent="0.25">
      <c r="A692" s="160">
        <f t="shared" ref="A692" si="435">B692-$B$2</f>
        <v>1067</v>
      </c>
      <c r="B692" s="169">
        <v>43300</v>
      </c>
      <c r="C692" s="211">
        <v>2804.49</v>
      </c>
      <c r="D692" s="168">
        <f t="shared" ref="D692" si="436">(C692-C691)/C691</f>
        <v>-3.9529481961344606E-3</v>
      </c>
      <c r="E692" s="205">
        <f t="shared" ref="E692" si="437">(C692-$C$2)/$C$2</f>
        <v>0.33392153878350855</v>
      </c>
      <c r="F692" s="215">
        <v>7825.29</v>
      </c>
      <c r="G692" s="168">
        <f t="shared" ref="G692" si="438">(F692-F691)/F691</f>
        <v>-3.7112766791775908E-3</v>
      </c>
      <c r="H692" s="199">
        <f t="shared" ref="H692" si="439">(F692-F$2)/F$2</f>
        <v>0.5368717717068956</v>
      </c>
      <c r="I692" s="822">
        <v>394279.56</v>
      </c>
      <c r="J692" s="170">
        <v>300000</v>
      </c>
      <c r="K692" s="170">
        <f t="shared" ref="K692" si="440">I692-I691-J692+J691</f>
        <v>880.46000000002095</v>
      </c>
      <c r="L692" s="168">
        <f t="shared" ref="L692" si="441">K692/I691</f>
        <v>2.2380834119854901E-3</v>
      </c>
      <c r="M692" s="178">
        <f t="shared" ref="M692" si="442">I692-J692</f>
        <v>94279.56</v>
      </c>
      <c r="N692" s="180">
        <f t="shared" ref="N692" si="443">M692/J692</f>
        <v>0.31426519999999997</v>
      </c>
      <c r="O692" s="179">
        <f t="shared" ref="O692" si="444">N692/(A692/365.25)</f>
        <v>0.10757766101218369</v>
      </c>
      <c r="P692" s="178" t="b">
        <f t="shared" ref="P692" si="445">L692&gt;D692</f>
        <v>1</v>
      </c>
      <c r="Q692" s="180">
        <f>COUNTIF(P$2:P692, TRUE)/(COUNTIF(P$2:P692,FALSE) + COUNTIF(P$2:P692, TRUE))</f>
        <v>0.49638205499276411</v>
      </c>
      <c r="R692" s="170">
        <v>255684.16</v>
      </c>
      <c r="S692" s="170">
        <f t="shared" ref="S692" si="446">I692-R692</f>
        <v>138595.4</v>
      </c>
      <c r="T692" s="170">
        <v>-32295</v>
      </c>
      <c r="U692" s="170">
        <f t="shared" ref="U692" si="447">M692-T692</f>
        <v>126574.56</v>
      </c>
      <c r="V692" s="180">
        <f>STDEV(D$2:D692)*SQRT(252)</f>
        <v>0.13985240552391423</v>
      </c>
      <c r="W692" s="180">
        <f>STDEV(L$2:L692)*SQRT(252)</f>
        <v>0.26775839705405224</v>
      </c>
      <c r="X692" s="171">
        <f t="shared" ref="X692" si="448">E692/(A692/365.25)/V692</f>
        <v>0.81733537768142361</v>
      </c>
      <c r="Y692" s="171">
        <f t="shared" ref="Y692" si="449">O692/W692</f>
        <v>0.40177138119954853</v>
      </c>
      <c r="Z692" s="784">
        <f t="shared" ref="Z692" si="450">-(E692-N692)</f>
        <v>-1.9656338783508587E-2</v>
      </c>
    </row>
    <row r="693" spans="1:26" ht="20.100000000000001" customHeight="1" x14ac:dyDescent="0.25">
      <c r="A693" s="160">
        <f t="shared" ref="A693" si="451">B693-$B$2</f>
        <v>1068</v>
      </c>
      <c r="B693" s="169">
        <v>43301</v>
      </c>
      <c r="C693" s="211">
        <v>2801.83</v>
      </c>
      <c r="D693" s="168">
        <f t="shared" ref="D693" si="452">(C693-C692)/C692</f>
        <v>-9.4847904610102177E-4</v>
      </c>
      <c r="E693" s="205">
        <f t="shared" ref="E693" si="453">(C693-$C$2)/$C$2</f>
        <v>0.33265634215482953</v>
      </c>
      <c r="F693" s="215">
        <v>7820.19</v>
      </c>
      <c r="G693" s="168">
        <f t="shared" ref="G693" si="454">(F693-F692)/F692</f>
        <v>-6.5173303481409176E-4</v>
      </c>
      <c r="H693" s="199">
        <f t="shared" ref="H693" si="455">(F693-F$2)/F$2</f>
        <v>0.53587014160300095</v>
      </c>
      <c r="I693" s="822">
        <v>393654.11</v>
      </c>
      <c r="J693" s="170">
        <v>300000</v>
      </c>
      <c r="K693" s="170">
        <f t="shared" ref="K693" si="456">I693-I692-J693+J692</f>
        <v>-625.45000000001164</v>
      </c>
      <c r="L693" s="168">
        <f t="shared" ref="L693" si="457">K693/I692</f>
        <v>-1.5863109921295734E-3</v>
      </c>
      <c r="M693" s="178">
        <f t="shared" ref="M693" si="458">I693-J693</f>
        <v>93654.109999999986</v>
      </c>
      <c r="N693" s="180">
        <f t="shared" ref="N693" si="459">M693/J693</f>
        <v>0.3121803666666666</v>
      </c>
      <c r="O693" s="179">
        <f t="shared" ref="O693" si="460">N693/(A693/365.25)</f>
        <v>0.10676393157771534</v>
      </c>
      <c r="P693" s="178" t="b">
        <f t="shared" ref="P693" si="461">L693&gt;D693</f>
        <v>0</v>
      </c>
      <c r="Q693" s="180">
        <f>COUNTIF(P$2:P693, TRUE)/(COUNTIF(P$2:P693,FALSE) + COUNTIF(P$2:P693, TRUE))</f>
        <v>0.49566473988439308</v>
      </c>
      <c r="R693" s="170">
        <v>264730.7</v>
      </c>
      <c r="S693" s="170">
        <f t="shared" ref="S693" si="462">I693-R693</f>
        <v>128923.40999999997</v>
      </c>
      <c r="T693" s="170">
        <v>-31596</v>
      </c>
      <c r="U693" s="170">
        <f t="shared" ref="U693" si="463">M693-T693</f>
        <v>125250.10999999999</v>
      </c>
      <c r="V693" s="180">
        <f>STDEV(D$2:D693)*SQRT(252)</f>
        <v>0.13975360173239254</v>
      </c>
      <c r="W693" s="180">
        <f>STDEV(L$2:L693)*SQRT(252)</f>
        <v>0.26756768889690702</v>
      </c>
      <c r="X693" s="171">
        <f t="shared" ref="X693" si="464">E693/(A693/365.25)/V693</f>
        <v>0.81405129278129884</v>
      </c>
      <c r="Y693" s="171">
        <f t="shared" ref="Y693" si="465">O693/W693</f>
        <v>0.39901653304204138</v>
      </c>
      <c r="Z693" s="784">
        <f t="shared" ref="Z693" si="466">-(E693-N693)</f>
        <v>-2.0475975488162934E-2</v>
      </c>
    </row>
    <row r="694" spans="1:26" ht="20.100000000000001" customHeight="1" x14ac:dyDescent="0.25">
      <c r="A694" s="160">
        <f t="shared" ref="A694" si="467">B694-$B$2</f>
        <v>1071</v>
      </c>
      <c r="B694" s="169">
        <v>43304</v>
      </c>
      <c r="C694" s="211">
        <v>2806.98</v>
      </c>
      <c r="D694" s="168">
        <f t="shared" ref="D694" si="468">(C694-C693)/C693</f>
        <v>1.8380843948419751E-3</v>
      </c>
      <c r="E694" s="205">
        <f t="shared" ref="E694" si="469">(C694-$C$2)/$C$2</f>
        <v>0.33510587698103156</v>
      </c>
      <c r="F694" s="215">
        <v>7841.87</v>
      </c>
      <c r="G694" s="168">
        <f t="shared" ref="G694" si="470">(F694-F693)/F693</f>
        <v>2.7723111586803253E-3</v>
      </c>
      <c r="H694" s="199">
        <f t="shared" ref="H694" si="471">(F694-F$2)/F$2</f>
        <v>0.54012805153485088</v>
      </c>
      <c r="I694" s="822">
        <v>395267.72</v>
      </c>
      <c r="J694" s="170">
        <v>300000</v>
      </c>
      <c r="K694" s="170">
        <f t="shared" ref="K694" si="472">I694-I693-J694+J693</f>
        <v>1613.609999999986</v>
      </c>
      <c r="L694" s="168">
        <f t="shared" ref="L694" si="473">K694/I693</f>
        <v>4.0990553864660171E-3</v>
      </c>
      <c r="M694" s="178">
        <f t="shared" ref="M694" si="474">I694-J694</f>
        <v>95267.719999999972</v>
      </c>
      <c r="N694" s="180">
        <f t="shared" ref="N694" si="475">M694/J694</f>
        <v>0.31755906666666656</v>
      </c>
      <c r="O694" s="179">
        <f t="shared" ref="O694" si="476">N694/(A694/365.25)</f>
        <v>0.10829920550887018</v>
      </c>
      <c r="P694" s="178" t="b">
        <f t="shared" ref="P694" si="477">L694&gt;D694</f>
        <v>1</v>
      </c>
      <c r="Q694" s="180">
        <f>COUNTIF(P$2:P694, TRUE)/(COUNTIF(P$2:P694,FALSE) + COUNTIF(P$2:P694, TRUE))</f>
        <v>0.49639249639249639</v>
      </c>
      <c r="R694" s="170">
        <v>262282.39</v>
      </c>
      <c r="S694" s="170">
        <f t="shared" ref="S694" si="478">I694-R694</f>
        <v>132985.32999999996</v>
      </c>
      <c r="T694" s="170">
        <v>-31343</v>
      </c>
      <c r="U694" s="170">
        <f t="shared" ref="U694" si="479">M694-T694</f>
        <v>126610.71999999997</v>
      </c>
      <c r="V694" s="180">
        <f>STDEV(D$2:D694)*SQRT(252)</f>
        <v>0.13965493723627229</v>
      </c>
      <c r="W694" s="180">
        <f>STDEV(L$2:L694)*SQRT(252)</f>
        <v>0.2673821540591399</v>
      </c>
      <c r="X694" s="171">
        <f t="shared" ref="X694" si="480">E694/(A694/365.25)/V694</f>
        <v>0.81832629083639241</v>
      </c>
      <c r="Y694" s="171">
        <f t="shared" ref="Y694" si="481">O694/W694</f>
        <v>0.40503527952324159</v>
      </c>
      <c r="Z694" s="784">
        <f t="shared" ref="Z694" si="482">-(E694-N694)</f>
        <v>-1.7546810314365002E-2</v>
      </c>
    </row>
    <row r="695" spans="1:26" ht="20.100000000000001" customHeight="1" x14ac:dyDescent="0.25">
      <c r="A695" s="160">
        <f t="shared" ref="A695" si="483">B695-$B$2</f>
        <v>1072</v>
      </c>
      <c r="B695" s="169">
        <v>43305</v>
      </c>
      <c r="C695" s="211">
        <v>2820.4</v>
      </c>
      <c r="D695" s="168">
        <f t="shared" ref="D695" si="484">(C695-C694)/C694</f>
        <v>4.7809389450584163E-3</v>
      </c>
      <c r="E695" s="205">
        <f t="shared" ref="E695" si="485">(C695-$C$2)/$C$2</f>
        <v>0.34148893666406654</v>
      </c>
      <c r="F695" s="215">
        <v>7840.76</v>
      </c>
      <c r="G695" s="168">
        <f t="shared" ref="G695" si="486">(F695-F694)/F694</f>
        <v>-1.4154787059714999E-4</v>
      </c>
      <c r="H695" s="199">
        <f t="shared" ref="H695" si="487">(F695-F$2)/F$2</f>
        <v>0.53991004968870915</v>
      </c>
      <c r="I695" s="822">
        <v>396061.88</v>
      </c>
      <c r="J695" s="170">
        <v>300000</v>
      </c>
      <c r="K695" s="170">
        <f t="shared" ref="K695" si="488">I695-I694-J695+J694</f>
        <v>794.1600000000326</v>
      </c>
      <c r="L695" s="168">
        <f t="shared" ref="L695" si="489">K695/I694</f>
        <v>2.0091698861724218E-3</v>
      </c>
      <c r="M695" s="178">
        <f t="shared" ref="M695" si="490">I695-J695</f>
        <v>96061.88</v>
      </c>
      <c r="N695" s="180">
        <f t="shared" ref="N695" si="491">M695/J695</f>
        <v>0.32020626666666668</v>
      </c>
      <c r="O695" s="179">
        <f t="shared" ref="O695" si="492">N695/(A695/365.25)</f>
        <v>0.10910012957089553</v>
      </c>
      <c r="P695" s="178" t="b">
        <f t="shared" ref="P695" si="493">L695&gt;D695</f>
        <v>0</v>
      </c>
      <c r="Q695" s="180">
        <f>COUNTIF(P$2:P695, TRUE)/(COUNTIF(P$2:P695,FALSE) + COUNTIF(P$2:P695, TRUE))</f>
        <v>0.49567723342939479</v>
      </c>
      <c r="R695" s="170">
        <v>258956.66</v>
      </c>
      <c r="S695" s="170">
        <f t="shared" ref="S695" si="494">I695-R695</f>
        <v>137105.22</v>
      </c>
      <c r="T695" s="170">
        <v>-31316</v>
      </c>
      <c r="U695" s="170">
        <f t="shared" ref="U695" si="495">M695-T695</f>
        <v>127377.88</v>
      </c>
      <c r="V695" s="180">
        <f>STDEV(D$2:D695)*SQRT(252)</f>
        <v>0.13957835749612202</v>
      </c>
      <c r="W695" s="180">
        <f>STDEV(L$2:L695)*SQRT(252)</f>
        <v>0.26719015389352224</v>
      </c>
      <c r="X695" s="171">
        <f t="shared" ref="X695" si="496">E695/(A695/365.25)/V695</f>
        <v>0.8335928753545212</v>
      </c>
      <c r="Y695" s="171">
        <f t="shared" ref="Y695" si="497">O695/W695</f>
        <v>0.40832391456450506</v>
      </c>
      <c r="Z695" s="784">
        <f t="shared" ref="Z695" si="498">-(E695-N695)</f>
        <v>-2.1282669997399861E-2</v>
      </c>
    </row>
    <row r="696" spans="1:26" ht="20.100000000000001" customHeight="1" x14ac:dyDescent="0.25">
      <c r="A696" s="160">
        <f t="shared" ref="A696" si="499">B696-$B$2</f>
        <v>1073</v>
      </c>
      <c r="B696" s="169">
        <v>43306</v>
      </c>
      <c r="C696" s="211">
        <v>2846.07</v>
      </c>
      <c r="D696" s="168">
        <f t="shared" ref="D696" si="500">(C696-C695)/C695</f>
        <v>9.1015458800170444E-3</v>
      </c>
      <c r="E696" s="205">
        <f t="shared" ref="E696" si="501">(C696-$C$2)/$C$2</f>
        <v>0.35369855976864978</v>
      </c>
      <c r="F696" s="215">
        <v>7932.23</v>
      </c>
      <c r="G696" s="168">
        <f t="shared" ref="G696" si="502">(F696-F695)/F695</f>
        <v>1.16659609527647E-2</v>
      </c>
      <c r="H696" s="199">
        <f t="shared" ref="H696" si="503">(F696-F$2)/F$2</f>
        <v>0.5578745801991476</v>
      </c>
      <c r="I696" s="822">
        <v>397194.94</v>
      </c>
      <c r="J696" s="170">
        <v>300000</v>
      </c>
      <c r="K696" s="170">
        <f t="shared" ref="K696" si="504">I696-I695-J696+J695</f>
        <v>1133.0599999999977</v>
      </c>
      <c r="L696" s="168">
        <f t="shared" ref="L696" si="505">K696/I695</f>
        <v>2.8608155877056325E-3</v>
      </c>
      <c r="M696" s="178">
        <f t="shared" ref="M696" si="506">I696-J696</f>
        <v>97194.94</v>
      </c>
      <c r="N696" s="180">
        <f t="shared" ref="N696" si="507">M696/J696</f>
        <v>0.32398313333333334</v>
      </c>
      <c r="O696" s="179">
        <f t="shared" ref="O696" si="508">N696/(A696/365.25)</f>
        <v>0.11028410013979496</v>
      </c>
      <c r="P696" s="178" t="b">
        <f t="shared" ref="P696" si="509">L696&gt;D696</f>
        <v>0</v>
      </c>
      <c r="Q696" s="180">
        <f>COUNTIF(P$2:P696, TRUE)/(COUNTIF(P$2:P696,FALSE) + COUNTIF(P$2:P696, TRUE))</f>
        <v>0.49496402877697843</v>
      </c>
      <c r="R696" s="170">
        <v>311104.62</v>
      </c>
      <c r="S696" s="170">
        <f t="shared" ref="S696" si="510">I696-R696</f>
        <v>86090.32</v>
      </c>
      <c r="T696" s="170">
        <v>-31452</v>
      </c>
      <c r="U696" s="170">
        <f t="shared" ref="U696" si="511">M696-T696</f>
        <v>128646.94</v>
      </c>
      <c r="V696" s="180">
        <f>STDEV(D$2:D696)*SQRT(252)</f>
        <v>0.13957472754547251</v>
      </c>
      <c r="W696" s="180">
        <f>STDEV(L$2:L696)*SQRT(252)</f>
        <v>0.26700063672614199</v>
      </c>
      <c r="X696" s="171">
        <f t="shared" ref="X696" si="512">E696/(A696/365.25)/V696</f>
        <v>0.86261499893794014</v>
      </c>
      <c r="Y696" s="171">
        <f t="shared" ref="Y696" si="513">O696/W696</f>
        <v>0.41304807918084285</v>
      </c>
      <c r="Z696" s="784">
        <f t="shared" ref="Z696" si="514">-(E696-N696)</f>
        <v>-2.9715426435316439E-2</v>
      </c>
    </row>
    <row r="697" spans="1:26" ht="20.100000000000001" customHeight="1" x14ac:dyDescent="0.25">
      <c r="A697" s="160">
        <f t="shared" ref="A697" si="515">B697-$B$2</f>
        <v>1074</v>
      </c>
      <c r="B697" s="169">
        <v>43307</v>
      </c>
      <c r="C697" s="211">
        <v>2837.44</v>
      </c>
      <c r="D697" s="168">
        <f t="shared" ref="D697" si="516">(C697-C696)/C696</f>
        <v>-3.0322514906520599E-3</v>
      </c>
      <c r="E697" s="205">
        <f t="shared" ref="E697" si="517">(C697-$C$2)/$C$2</f>
        <v>0.34959380529289774</v>
      </c>
      <c r="F697" s="215">
        <v>7852.18</v>
      </c>
      <c r="G697" s="168">
        <f t="shared" ref="G697" si="518">(F697-F696)/F696</f>
        <v>-1.0091739649505785E-2</v>
      </c>
      <c r="H697" s="199">
        <f t="shared" ref="H697" si="519">(F697-F$2)/F$2</f>
        <v>0.54215291552919465</v>
      </c>
      <c r="I697" s="822">
        <v>399108.12</v>
      </c>
      <c r="J697" s="170">
        <v>300000</v>
      </c>
      <c r="K697" s="170">
        <f t="shared" ref="K697" si="520">I697-I696-J697+J696</f>
        <v>1913.179999999993</v>
      </c>
      <c r="L697" s="168">
        <f t="shared" ref="L697" si="521">K697/I696</f>
        <v>4.8167280278041636E-3</v>
      </c>
      <c r="M697" s="178">
        <f t="shared" ref="M697" si="522">I697-J697</f>
        <v>99108.12</v>
      </c>
      <c r="N697" s="180">
        <f t="shared" ref="N697" si="523">M697/J697</f>
        <v>0.3303604</v>
      </c>
      <c r="O697" s="179">
        <f t="shared" ref="O697" si="524">N697/(A697/365.25)</f>
        <v>0.11235021983240223</v>
      </c>
      <c r="P697" s="178" t="b">
        <f t="shared" ref="P697" si="525">L697&gt;D697</f>
        <v>1</v>
      </c>
      <c r="Q697" s="180">
        <f>COUNTIF(P$2:P697, TRUE)/(COUNTIF(P$2:P697,FALSE) + COUNTIF(P$2:P697, TRUE))</f>
        <v>0.49568965517241381</v>
      </c>
      <c r="R697" s="170">
        <v>302471.34000000003</v>
      </c>
      <c r="S697" s="170">
        <f t="shared" ref="S697" si="526">I697-R697</f>
        <v>96636.77999999997</v>
      </c>
      <c r="T697" s="170">
        <v>-31624</v>
      </c>
      <c r="U697" s="170">
        <f t="shared" ref="U697" si="527">M697-T697</f>
        <v>130732.12</v>
      </c>
      <c r="V697" s="180">
        <f>STDEV(D$2:D697)*SQRT(252)</f>
        <v>0.13949012206949335</v>
      </c>
      <c r="W697" s="180">
        <f>STDEV(L$2:L697)*SQRT(252)</f>
        <v>0.26681999531144557</v>
      </c>
      <c r="X697" s="171">
        <f t="shared" ref="X697" si="528">E697/(A697/365.25)/V697</f>
        <v>0.85232694334176662</v>
      </c>
      <c r="Y697" s="171">
        <f t="shared" ref="Y697" si="529">O697/W697</f>
        <v>0.42107121582571599</v>
      </c>
      <c r="Z697" s="784">
        <f t="shared" ref="Z697" si="530">-(E697-N697)</f>
        <v>-1.9233405292897743E-2</v>
      </c>
    </row>
    <row r="698" spans="1:26" ht="20.100000000000001" customHeight="1" x14ac:dyDescent="0.25">
      <c r="A698" s="160">
        <f t="shared" ref="A698" si="531">B698-$B$2</f>
        <v>1075</v>
      </c>
      <c r="B698" s="169">
        <v>43308</v>
      </c>
      <c r="C698" s="211">
        <v>2818.85</v>
      </c>
      <c r="D698" s="168">
        <f t="shared" ref="D698" si="532">(C698-C697)/C697</f>
        <v>-6.5516803879553916E-3</v>
      </c>
      <c r="E698" s="205">
        <f t="shared" ref="E698" si="533">(C698-$C$2)/$C$2</f>
        <v>0.34075169802705418</v>
      </c>
      <c r="F698" s="215">
        <v>7737.41</v>
      </c>
      <c r="G698" s="168">
        <f t="shared" ref="G698" si="534">(F698-F697)/F697</f>
        <v>-1.461632311027007E-2</v>
      </c>
      <c r="H698" s="199">
        <f t="shared" ref="H698" si="535">(F698-F$2)/F$2</f>
        <v>0.51961231023037491</v>
      </c>
      <c r="I698" s="822">
        <v>400512.23</v>
      </c>
      <c r="J698" s="170">
        <v>300000</v>
      </c>
      <c r="K698" s="170">
        <f t="shared" ref="K698" si="536">I698-I697-J698+J697</f>
        <v>1404.109999999986</v>
      </c>
      <c r="L698" s="168">
        <f t="shared" ref="L698" si="537">K698/I697</f>
        <v>3.5181193507162574E-3</v>
      </c>
      <c r="M698" s="178">
        <f t="shared" ref="M698" si="538">I698-J698</f>
        <v>100512.22999999998</v>
      </c>
      <c r="N698" s="180">
        <f t="shared" ref="N698" si="539">M698/J698</f>
        <v>0.3350407666666666</v>
      </c>
      <c r="O698" s="179">
        <f t="shared" ref="O698" si="540">N698/(A698/365.25)</f>
        <v>0.11383594420930231</v>
      </c>
      <c r="P698" s="178" t="b">
        <f t="shared" ref="P698" si="541">L698&gt;D698</f>
        <v>1</v>
      </c>
      <c r="Q698" s="180">
        <f>COUNTIF(P$2:P698, TRUE)/(COUNTIF(P$2:P698,FALSE) + COUNTIF(P$2:P698, TRUE))</f>
        <v>0.4964131994261119</v>
      </c>
      <c r="R698" s="170">
        <v>303807.39</v>
      </c>
      <c r="S698" s="170">
        <f t="shared" ref="S698" si="542">I698-R698</f>
        <v>96704.839999999967</v>
      </c>
      <c r="T698" s="170">
        <v>-31335</v>
      </c>
      <c r="U698" s="170">
        <f t="shared" ref="U698" si="543">M698-T698</f>
        <v>131847.22999999998</v>
      </c>
      <c r="V698" s="180">
        <f>STDEV(D$2:D698)*SQRT(252)</f>
        <v>0.13945375345080335</v>
      </c>
      <c r="W698" s="180">
        <f>STDEV(L$2:L698)*SQRT(252)</f>
        <v>0.26663352765470749</v>
      </c>
      <c r="X698" s="171">
        <f t="shared" ref="X698" si="544">E698/(A698/365.25)/V698</f>
        <v>0.83021309848863689</v>
      </c>
      <c r="Y698" s="171">
        <f t="shared" ref="Y698" si="545">O698/W698</f>
        <v>0.42693784690393755</v>
      </c>
      <c r="Z698" s="784">
        <f t="shared" ref="Z698" si="546">-(E698-N698)</f>
        <v>-5.7109313603875833E-3</v>
      </c>
    </row>
  </sheetData>
  <conditionalFormatting sqref="L699:L1048576 L1:L2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98">
    <cfRule type="colorScale" priority="97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98">
    <cfRule type="colorScale" priority="98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98">
    <cfRule type="colorScale" priority="983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344.82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344.82</v>
      </c>
      <c r="R4" s="490">
        <v>-2.5899999999999999E-2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207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206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57" t="s">
        <v>78</v>
      </c>
      <c r="P42" s="857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379.30200000000002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375.85380000000004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372.40559999999999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368.95740000000001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365.50920000000002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362.06100000000004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358.61279999999999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355.16460000000001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351.71640000000002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348.26819999999998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344.82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341.37180000000001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337.92359999999996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334.47539999999998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331.02719999999999</v>
      </c>
      <c r="U57" s="470"/>
    </row>
    <row r="58" spans="1:21" x14ac:dyDescent="0.25">
      <c r="O58" s="81">
        <v>0.95</v>
      </c>
      <c r="P58" s="81">
        <f t="shared" si="3"/>
        <v>327.57899999999995</v>
      </c>
      <c r="U58" s="470"/>
    </row>
    <row r="59" spans="1:21" x14ac:dyDescent="0.25">
      <c r="O59" s="81">
        <v>0.94</v>
      </c>
      <c r="P59" s="81">
        <f t="shared" si="3"/>
        <v>324.13079999999997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320.68260000000004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317.23439999999999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313.78620000000001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310.33800000000002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650" priority="58">
      <formula>F19&gt;0</formula>
    </cfRule>
    <cfRule type="expression" dxfId="2649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648" priority="47">
      <formula>H25&gt;0</formula>
    </cfRule>
    <cfRule type="expression" dxfId="2647" priority="48">
      <formula>H25&lt;0</formula>
    </cfRule>
  </conditionalFormatting>
  <conditionalFormatting sqref="M39">
    <cfRule type="expression" dxfId="2646" priority="45">
      <formula>M39&gt;0</formula>
    </cfRule>
    <cfRule type="expression" dxfId="2645" priority="46">
      <formula>M39&lt;0</formula>
    </cfRule>
  </conditionalFormatting>
  <conditionalFormatting sqref="F61:F67">
    <cfRule type="expression" dxfId="2644" priority="43">
      <formula>F61&gt;0</formula>
    </cfRule>
    <cfRule type="expression" dxfId="2643" priority="44">
      <formula>F61&lt;0</formula>
    </cfRule>
  </conditionalFormatting>
  <conditionalFormatting sqref="H61:H67">
    <cfRule type="expression" dxfId="2642" priority="41">
      <formula>H61&gt;0</formula>
    </cfRule>
    <cfRule type="expression" dxfId="2641" priority="42">
      <formula>H61&lt;0</formula>
    </cfRule>
  </conditionalFormatting>
  <conditionalFormatting sqref="F21:F24">
    <cfRule type="expression" dxfId="2640" priority="39">
      <formula>F21&gt;0</formula>
    </cfRule>
    <cfRule type="expression" dxfId="2639" priority="40">
      <formula>F21&lt;0</formula>
    </cfRule>
  </conditionalFormatting>
  <conditionalFormatting sqref="H21:H24">
    <cfRule type="expression" dxfId="2638" priority="37">
      <formula>H21&gt;0</formula>
    </cfRule>
    <cfRule type="expression" dxfId="2637" priority="38">
      <formula>H21&lt;0</formula>
    </cfRule>
  </conditionalFormatting>
  <conditionalFormatting sqref="I25:I28">
    <cfRule type="expression" dxfId="2636" priority="31">
      <formula>I25&gt;0</formula>
    </cfRule>
    <cfRule type="expression" dxfId="2635" priority="32">
      <formula>I25&lt;0</formula>
    </cfRule>
  </conditionalFormatting>
  <conditionalFormatting sqref="I21:I24">
    <cfRule type="expression" dxfId="2634" priority="29">
      <formula>I21&gt;0</formula>
    </cfRule>
    <cfRule type="expression" dxfId="2633" priority="30">
      <formula>I21&lt;0</formula>
    </cfRule>
  </conditionalFormatting>
  <conditionalFormatting sqref="H29">
    <cfRule type="expression" dxfId="2632" priority="27">
      <formula>H29&gt;0</formula>
    </cfRule>
    <cfRule type="expression" dxfId="2631" priority="28">
      <formula>H29&lt;0</formula>
    </cfRule>
  </conditionalFormatting>
  <conditionalFormatting sqref="H30">
    <cfRule type="expression" dxfId="2630" priority="25">
      <formula>H30&gt;0</formula>
    </cfRule>
    <cfRule type="expression" dxfId="2629" priority="26">
      <formula>H30&lt;0</formula>
    </cfRule>
  </conditionalFormatting>
  <conditionalFormatting sqref="H31">
    <cfRule type="expression" dxfId="2628" priority="23">
      <formula>H31&gt;0</formula>
    </cfRule>
    <cfRule type="expression" dxfId="2627" priority="24">
      <formula>H31&lt;0</formula>
    </cfRule>
  </conditionalFormatting>
  <conditionalFormatting sqref="Q7">
    <cfRule type="expression" dxfId="2626" priority="21">
      <formula>Q7&gt;0</formula>
    </cfRule>
    <cfRule type="expression" dxfId="2625" priority="22">
      <formula>Q7&lt;0</formula>
    </cfRule>
  </conditionalFormatting>
  <conditionalFormatting sqref="Q8">
    <cfRule type="expression" dxfId="2624" priority="19">
      <formula>Q8&gt;0</formula>
    </cfRule>
    <cfRule type="expression" dxfId="2623" priority="20">
      <formula>Q8&lt;0</formula>
    </cfRule>
  </conditionalFormatting>
  <conditionalFormatting sqref="F73:F82">
    <cfRule type="expression" dxfId="2622" priority="17">
      <formula>F73&gt;0</formula>
    </cfRule>
    <cfRule type="expression" dxfId="2621" priority="18">
      <formula>F73&lt;0</formula>
    </cfRule>
  </conditionalFormatting>
  <conditionalFormatting sqref="H73:H76">
    <cfRule type="expression" dxfId="2620" priority="15">
      <formula>H73&gt;0</formula>
    </cfRule>
    <cfRule type="expression" dxfId="2619" priority="16">
      <formula>H73&lt;0</formula>
    </cfRule>
  </conditionalFormatting>
  <conditionalFormatting sqref="F69:F72">
    <cfRule type="expression" dxfId="2618" priority="13">
      <formula>F69&gt;0</formula>
    </cfRule>
    <cfRule type="expression" dxfId="2617" priority="14">
      <formula>F69&lt;0</formula>
    </cfRule>
  </conditionalFormatting>
  <conditionalFormatting sqref="H69:H72">
    <cfRule type="expression" dxfId="2616" priority="11">
      <formula>H69&gt;0</formula>
    </cfRule>
    <cfRule type="expression" dxfId="2615" priority="12">
      <formula>H69&lt;0</formula>
    </cfRule>
  </conditionalFormatting>
  <conditionalFormatting sqref="I73:I76">
    <cfRule type="expression" dxfId="2614" priority="9">
      <formula>I73&gt;0</formula>
    </cfRule>
    <cfRule type="expression" dxfId="2613" priority="10">
      <formula>I73&lt;0</formula>
    </cfRule>
  </conditionalFormatting>
  <conditionalFormatting sqref="I69:I72">
    <cfRule type="expression" dxfId="2612" priority="7">
      <formula>I69&gt;0</formula>
    </cfRule>
    <cfRule type="expression" dxfId="2611" priority="8">
      <formula>I69&lt;0</formula>
    </cfRule>
  </conditionalFormatting>
  <conditionalFormatting sqref="H77">
    <cfRule type="expression" dxfId="2610" priority="5">
      <formula>H77&gt;0</formula>
    </cfRule>
    <cfRule type="expression" dxfId="2609" priority="6">
      <formula>H77&lt;0</formula>
    </cfRule>
  </conditionalFormatting>
  <conditionalFormatting sqref="H78">
    <cfRule type="expression" dxfId="2608" priority="3">
      <formula>H78&gt;0</formula>
    </cfRule>
    <cfRule type="expression" dxfId="2607" priority="4">
      <formula>H78&lt;0</formula>
    </cfRule>
  </conditionalFormatting>
  <conditionalFormatting sqref="H79">
    <cfRule type="expression" dxfId="2606" priority="1">
      <formula>H79&gt;0</formula>
    </cfRule>
    <cfRule type="expression" dxfId="2605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36.67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36.67</v>
      </c>
      <c r="R4" s="490">
        <v>-1.1900000000000001E-2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207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206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206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202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57" t="s">
        <v>78</v>
      </c>
      <c r="P42" s="857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40.337000000000003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39.970300000000002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39.603600000000007</v>
      </c>
      <c r="Q45" s="2"/>
      <c r="T45" s="106" t="s">
        <v>99</v>
      </c>
      <c r="U45" s="352" t="s">
        <v>554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39.236900000000006</v>
      </c>
      <c r="Q46" s="2"/>
      <c r="T46" s="106" t="s">
        <v>100</v>
      </c>
      <c r="U46" s="352" t="s">
        <v>555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38.870200000000004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38.503500000000003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38.136800000000001</v>
      </c>
      <c r="Q49" s="2"/>
      <c r="T49" s="106" t="s">
        <v>121</v>
      </c>
      <c r="U49" s="352" t="s">
        <v>418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37.770099999999999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37.403400000000005</v>
      </c>
      <c r="Q51" s="2"/>
      <c r="T51" s="106" t="s">
        <v>104</v>
      </c>
      <c r="U51" s="352" t="s">
        <v>556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37.036700000000003</v>
      </c>
      <c r="Q52" s="2"/>
      <c r="T52" s="106" t="s">
        <v>105</v>
      </c>
      <c r="U52" s="352" t="s">
        <v>408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36.67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36.3033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35.936599999999999</v>
      </c>
      <c r="Q55" s="2"/>
      <c r="T55" s="106" t="s">
        <v>107</v>
      </c>
      <c r="U55" s="352" t="s">
        <v>557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35.569900000000004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35.203200000000002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34.836500000000001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34.469799999999999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34.103100000000005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33.736400000000003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33.369700000000002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33.003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604" priority="29">
      <formula>N19&gt;0</formula>
    </cfRule>
    <cfRule type="expression" dxfId="2603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602" priority="23">
      <formula>F22&gt;0</formula>
    </cfRule>
    <cfRule type="expression" dxfId="2601" priority="24">
      <formula>F22&lt;0</formula>
    </cfRule>
  </conditionalFormatting>
  <conditionalFormatting sqref="H22:H31">
    <cfRule type="expression" dxfId="2600" priority="21">
      <formula>H22&gt;0</formula>
    </cfRule>
    <cfRule type="expression" dxfId="2599" priority="22">
      <formula>H22&lt;0</formula>
    </cfRule>
  </conditionalFormatting>
  <conditionalFormatting sqref="I21:J31">
    <cfRule type="expression" dxfId="2598" priority="19">
      <formula>I21&gt;0</formula>
    </cfRule>
    <cfRule type="expression" dxfId="2597" priority="20">
      <formula>I21&lt;0</formula>
    </cfRule>
  </conditionalFormatting>
  <conditionalFormatting sqref="Q8">
    <cfRule type="expression" dxfId="2596" priority="11">
      <formula>Q8&gt;0</formula>
    </cfRule>
    <cfRule type="expression" dxfId="2595" priority="12">
      <formula>Q8&lt;0</formula>
    </cfRule>
  </conditionalFormatting>
  <conditionalFormatting sqref="Q7">
    <cfRule type="expression" dxfId="2594" priority="13">
      <formula>Q7&gt;0</formula>
    </cfRule>
    <cfRule type="expression" dxfId="2593" priority="14">
      <formula>Q7&lt;0</formula>
    </cfRule>
  </conditionalFormatting>
  <conditionalFormatting sqref="F56:F66">
    <cfRule type="expression" dxfId="2592" priority="9">
      <formula>F56&gt;0</formula>
    </cfRule>
    <cfRule type="expression" dxfId="2591" priority="10">
      <formula>F56&lt;0</formula>
    </cfRule>
  </conditionalFormatting>
  <conditionalFormatting sqref="H56:H66">
    <cfRule type="expression" dxfId="2590" priority="7">
      <formula>H56&gt;0</formula>
    </cfRule>
    <cfRule type="expression" dxfId="2589" priority="8">
      <formula>H56&lt;0</formula>
    </cfRule>
  </conditionalFormatting>
  <conditionalFormatting sqref="I56:I66">
    <cfRule type="expression" dxfId="2588" priority="5">
      <formula>I56&gt;0</formula>
    </cfRule>
    <cfRule type="expression" dxfId="2587" priority="6">
      <formula>I56&lt;0</formula>
    </cfRule>
  </conditionalFormatting>
  <conditionalFormatting sqref="F21">
    <cfRule type="expression" dxfId="2586" priority="3">
      <formula>F21&gt;0</formula>
    </cfRule>
    <cfRule type="expression" dxfId="2585" priority="4">
      <formula>F21&lt;0</formula>
    </cfRule>
  </conditionalFormatting>
  <conditionalFormatting sqref="H21">
    <cfRule type="expression" dxfId="2584" priority="1">
      <formula>H21&gt;0</formula>
    </cfRule>
    <cfRule type="expression" dxfId="2583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212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237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59.52</v>
      </c>
      <c r="T3" s="1">
        <v>43112</v>
      </c>
      <c r="U3" t="s">
        <v>874</v>
      </c>
      <c r="X3" s="1"/>
      <c r="AB3" s="225"/>
      <c r="AE3" s="225"/>
    </row>
    <row r="4" spans="1:31" x14ac:dyDescent="0.25">
      <c r="B4" s="434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59.52</v>
      </c>
      <c r="R4" s="222">
        <v>-8.8000000000000005E-3</v>
      </c>
      <c r="T4" s="1">
        <v>43114</v>
      </c>
      <c r="U4" t="s">
        <v>873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884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A7" t="s">
        <v>774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2131.6999999999971</v>
      </c>
      <c r="R7">
        <v>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973.83000000000175</v>
      </c>
      <c r="T8" s="770">
        <v>43173</v>
      </c>
      <c r="U8" t="s">
        <v>948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207</v>
      </c>
      <c r="Q9" s="222">
        <f>IF(Q2=0, 0, Q8/Q6)</f>
        <v>0</v>
      </c>
      <c r="T9" s="151"/>
      <c r="U9" t="s">
        <v>973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206</v>
      </c>
      <c r="P10" s="33"/>
      <c r="Q10" s="2">
        <f>M177</f>
        <v>1157.8699999999953</v>
      </c>
      <c r="U10" t="s">
        <v>971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2.4865591397849461E-2</v>
      </c>
      <c r="R11" s="33">
        <f>1.48/4</f>
        <v>0.37</v>
      </c>
      <c r="U11" t="s">
        <v>972</v>
      </c>
    </row>
    <row r="12" spans="1:31" x14ac:dyDescent="0.25">
      <c r="B12" s="434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434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938</v>
      </c>
      <c r="Q12" s="1" t="s">
        <v>1219</v>
      </c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965</v>
      </c>
      <c r="Q13">
        <f>Q4/4</f>
        <v>14.88</v>
      </c>
      <c r="T13" s="1">
        <v>43212</v>
      </c>
      <c r="U13" t="s">
        <v>1016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1089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1111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1115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650</v>
      </c>
      <c r="D23" s="343"/>
      <c r="E23" s="343"/>
      <c r="F23" s="344">
        <f>SumByColor($A$23,F2:F21)</f>
        <v>34079</v>
      </c>
      <c r="G23" s="343"/>
      <c r="H23" s="343">
        <f>SumByColor($A$23,H2:H21)</f>
        <v>650</v>
      </c>
      <c r="I23" s="343"/>
      <c r="J23" s="343"/>
      <c r="K23" s="344">
        <f>SumByColor($A$23,K2:K21)</f>
        <v>34883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965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222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222">
        <f t="shared" si="4"/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222">
        <f t="shared" si="4"/>
        <v>6.1528217901136786E-3</v>
      </c>
      <c r="I31" s="193" t="s">
        <v>745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222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222">
        <f t="shared" si="4"/>
        <v>2.4372239668697671E-2</v>
      </c>
      <c r="I33" s="193" t="s">
        <v>747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222">
        <f t="shared" si="4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222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222">
        <f t="shared" si="4"/>
        <v>-0.16448936231301498</v>
      </c>
      <c r="I36" s="127" t="s">
        <v>759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222">
        <f t="shared" si="4"/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222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222">
        <f t="shared" ref="H39:H51" si="7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222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65.472000000000008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222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64.876800000000003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222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64.281600000000012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222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63.686400000000006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222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63.091200000000008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222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62.496000000000009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222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61.900800000000004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222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61.305600000000005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222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60.710400000000007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222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60.115200000000002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222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59.52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222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58.924800000000005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222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58.329599999999999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222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57.734400000000001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222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57.139200000000002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222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56.543999999999997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222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55.948799999999999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222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55.353600000000007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222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54.758400000000002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222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54.163200000000003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222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53.568000000000005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222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222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222">
        <f t="shared" si="11"/>
        <v>0.44448998800686207</v>
      </c>
      <c r="I63" s="10"/>
      <c r="J63" s="39">
        <v>2036</v>
      </c>
      <c r="K63" s="39"/>
    </row>
    <row r="64" spans="1:17" x14ac:dyDescent="0.25">
      <c r="B64" s="18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12">C75*(E75-D75)</f>
        <v>15.999999999999943</v>
      </c>
      <c r="G75" s="363">
        <f t="shared" ref="G75:G83" si="13">D75*C75</f>
        <v>1924</v>
      </c>
      <c r="H75" s="364">
        <f t="shared" ref="H75:H83" si="14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12"/>
        <v>50.600000000000023</v>
      </c>
      <c r="G76" s="363">
        <f t="shared" si="13"/>
        <v>1924</v>
      </c>
      <c r="H76" s="364">
        <f t="shared" si="14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12"/>
        <v>-176.20199999999988</v>
      </c>
      <c r="G77" s="363">
        <f t="shared" si="13"/>
        <v>4063.752</v>
      </c>
      <c r="H77" s="364">
        <f t="shared" si="14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12"/>
        <v>-51.239999999999952</v>
      </c>
      <c r="G78" s="363">
        <f t="shared" si="13"/>
        <v>2283.9899999999998</v>
      </c>
      <c r="H78" s="364">
        <f t="shared" si="14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12"/>
        <v>-146.2399999999999</v>
      </c>
      <c r="G79" s="363">
        <f t="shared" si="13"/>
        <v>2283.9899999999998</v>
      </c>
      <c r="H79" s="364">
        <f t="shared" si="14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12"/>
        <v>-159.23999999999978</v>
      </c>
      <c r="G80" s="363">
        <f t="shared" si="13"/>
        <v>4352.74</v>
      </c>
      <c r="H80" s="364">
        <f t="shared" si="14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12"/>
        <v>-37.790000000000035</v>
      </c>
      <c r="G81" s="363">
        <f t="shared" si="13"/>
        <v>2188.04</v>
      </c>
      <c r="H81" s="364">
        <f t="shared" si="14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12"/>
        <v>-137.54000000000025</v>
      </c>
      <c r="G82" s="363">
        <f t="shared" si="13"/>
        <v>2188.04</v>
      </c>
      <c r="H82" s="364">
        <f t="shared" si="14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12"/>
        <v>-167.54249999999934</v>
      </c>
      <c r="G83" s="363">
        <f t="shared" si="13"/>
        <v>6112.0424999999996</v>
      </c>
      <c r="H83" s="364">
        <f t="shared" si="14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15">C84*(E84-D84)</f>
        <v>-58.042499999999819</v>
      </c>
      <c r="G84" s="363">
        <f t="shared" ref="G84:G96" si="16">D84*C84</f>
        <v>6112.0424999999996</v>
      </c>
      <c r="H84" s="364">
        <f t="shared" ref="H84:H96" si="17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15"/>
        <v>195.77249999999998</v>
      </c>
      <c r="G85" s="363">
        <f t="shared" si="16"/>
        <v>4432.4775</v>
      </c>
      <c r="H85" s="364">
        <f t="shared" si="17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15"/>
        <v>38.472500000000025</v>
      </c>
      <c r="G86" s="363">
        <f t="shared" si="16"/>
        <v>4432.4775</v>
      </c>
      <c r="H86" s="364">
        <f t="shared" si="17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15"/>
        <v>466.37249999999932</v>
      </c>
      <c r="G87" s="363">
        <f t="shared" si="16"/>
        <v>4432.4775</v>
      </c>
      <c r="H87" s="364">
        <f t="shared" si="17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15"/>
        <v>536.22249999999985</v>
      </c>
      <c r="G88" s="363">
        <f t="shared" si="16"/>
        <v>4432.4775</v>
      </c>
      <c r="H88" s="364">
        <f t="shared" si="17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15"/>
        <v>640.51000000000045</v>
      </c>
      <c r="G89" s="363">
        <f t="shared" si="16"/>
        <v>3972.49</v>
      </c>
      <c r="H89" s="364">
        <f t="shared" si="17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15"/>
        <v>547.01000000000022</v>
      </c>
      <c r="G90" s="363">
        <f t="shared" si="16"/>
        <v>3972.49</v>
      </c>
      <c r="H90" s="364">
        <f t="shared" si="17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15"/>
        <v>505.01000000000005</v>
      </c>
      <c r="G91" s="363">
        <f t="shared" si="16"/>
        <v>3972.49</v>
      </c>
      <c r="H91" s="364">
        <f t="shared" si="17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15"/>
        <v>400.50999999999988</v>
      </c>
      <c r="G92" s="363">
        <f t="shared" si="16"/>
        <v>3972.49</v>
      </c>
      <c r="H92" s="364">
        <f t="shared" si="17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15"/>
        <v>504.01000000000022</v>
      </c>
      <c r="G93" s="363">
        <f t="shared" si="16"/>
        <v>3972.49</v>
      </c>
      <c r="H93" s="364">
        <f t="shared" si="17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15"/>
        <v>470.51000000000016</v>
      </c>
      <c r="G94" s="363">
        <f t="shared" si="16"/>
        <v>3972.49</v>
      </c>
      <c r="H94" s="364">
        <f t="shared" si="17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15"/>
        <v>500.50999999999988</v>
      </c>
      <c r="G95" s="363">
        <f t="shared" si="16"/>
        <v>3972.49</v>
      </c>
      <c r="H95" s="364">
        <f t="shared" si="17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15"/>
        <v>413.46899999999977</v>
      </c>
      <c r="G96" s="363">
        <f t="shared" si="16"/>
        <v>2218.1310000000003</v>
      </c>
      <c r="H96" s="364">
        <f t="shared" si="17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18">C100*(E100-D100)</f>
        <v>42.500000000000071</v>
      </c>
      <c r="G100" s="363">
        <f t="shared" ref="G100:G116" si="19">D100*C100</f>
        <v>1973.75</v>
      </c>
      <c r="H100" s="364">
        <f t="shared" ref="H100:H116" si="20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18"/>
        <v>30.750000000000099</v>
      </c>
      <c r="G101" s="363">
        <f t="shared" si="19"/>
        <v>1973.75</v>
      </c>
      <c r="H101" s="364">
        <f t="shared" si="20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18"/>
        <v>75.750000000000028</v>
      </c>
      <c r="G102" s="363">
        <f t="shared" si="19"/>
        <v>1973.75</v>
      </c>
      <c r="H102" s="364">
        <f t="shared" si="20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18"/>
        <v>53.749999999999787</v>
      </c>
      <c r="G103" s="363">
        <f t="shared" si="19"/>
        <v>1973.75</v>
      </c>
      <c r="H103" s="364">
        <f t="shared" si="20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18"/>
        <v>88.250000000000028</v>
      </c>
      <c r="G104" s="363">
        <f t="shared" si="19"/>
        <v>1973.75</v>
      </c>
      <c r="H104" s="364">
        <f t="shared" si="20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18"/>
        <v>70.499999999999829</v>
      </c>
      <c r="G105" s="363">
        <f t="shared" si="19"/>
        <v>1973.75</v>
      </c>
      <c r="H105" s="364">
        <f t="shared" si="20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18"/>
        <v>-51.249999999999929</v>
      </c>
      <c r="G106" s="363">
        <f t="shared" si="19"/>
        <v>1973.75</v>
      </c>
      <c r="H106" s="364">
        <f t="shared" si="20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18"/>
        <v>-29.500000000000171</v>
      </c>
      <c r="G107" s="363">
        <f t="shared" si="19"/>
        <v>1973.75</v>
      </c>
      <c r="H107" s="364">
        <f t="shared" si="20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18"/>
        <v>-85.750000000000171</v>
      </c>
      <c r="G108" s="363">
        <f t="shared" si="19"/>
        <v>1973.75</v>
      </c>
      <c r="H108" s="364">
        <f t="shared" si="20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18"/>
        <v>-42.000000000000171</v>
      </c>
      <c r="G109" s="363">
        <f t="shared" si="19"/>
        <v>1973.75</v>
      </c>
      <c r="H109" s="364">
        <f t="shared" si="20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18"/>
        <v>0.49999999999990052</v>
      </c>
      <c r="G110" s="363">
        <f t="shared" si="19"/>
        <v>1973.75</v>
      </c>
      <c r="H110" s="364">
        <f t="shared" si="20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18"/>
        <v>-4.9500000000001876</v>
      </c>
      <c r="G111" s="363">
        <f t="shared" si="19"/>
        <v>4202</v>
      </c>
      <c r="H111" s="364">
        <f t="shared" si="20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18"/>
        <v>-102.99849999999971</v>
      </c>
      <c r="G112" s="363">
        <f t="shared" si="19"/>
        <v>4202.1484999999993</v>
      </c>
      <c r="H112" s="364">
        <f t="shared" si="20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18"/>
        <v>-37.548499999999834</v>
      </c>
      <c r="G113" s="363">
        <f t="shared" si="19"/>
        <v>4202.1484999999993</v>
      </c>
      <c r="H113" s="364">
        <f t="shared" si="20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18"/>
        <v>77.951499999999854</v>
      </c>
      <c r="G114" s="363">
        <f t="shared" si="19"/>
        <v>4202.1484999999993</v>
      </c>
      <c r="H114" s="364">
        <f t="shared" si="20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18"/>
        <v>214.71000000000032</v>
      </c>
      <c r="G115" s="363">
        <f t="shared" si="19"/>
        <v>2228.19</v>
      </c>
      <c r="H115" s="364">
        <f t="shared" si="20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18"/>
        <v>173.90999999999991</v>
      </c>
      <c r="G116" s="363">
        <f t="shared" si="19"/>
        <v>2228.19</v>
      </c>
      <c r="H116" s="364">
        <f t="shared" si="20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222">
        <f t="shared" ref="H120:H150" si="23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222">
        <f t="shared" si="23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222">
        <f t="shared" si="23"/>
        <v>1.5841399271731272E-2</v>
      </c>
      <c r="I122" s="10"/>
      <c r="J122" s="10"/>
    </row>
    <row r="123" spans="1:10" x14ac:dyDescent="0.25">
      <c r="A123" t="s">
        <v>339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222">
        <f t="shared" si="23"/>
        <v>1.3761638502831674E-3</v>
      </c>
      <c r="I123" s="10"/>
      <c r="J123" s="10"/>
    </row>
    <row r="124" spans="1:10" x14ac:dyDescent="0.25">
      <c r="A124" t="s">
        <v>339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222">
        <f t="shared" si="23"/>
        <v>2.8775462130698346E-2</v>
      </c>
      <c r="I124" s="10"/>
      <c r="J124" s="10"/>
    </row>
    <row r="125" spans="1:10" x14ac:dyDescent="0.25">
      <c r="A125" t="s">
        <v>376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222">
        <f t="shared" si="23"/>
        <v>-2.2272351342471561E-2</v>
      </c>
      <c r="I125" s="10"/>
      <c r="J125" s="10"/>
    </row>
    <row r="126" spans="1:10" x14ac:dyDescent="0.25">
      <c r="A126" t="s">
        <v>335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222">
        <f t="shared" si="23"/>
        <v>-5.5260740891927666E-2</v>
      </c>
      <c r="I126" s="10"/>
      <c r="J126" s="10"/>
    </row>
    <row r="127" spans="1:10" x14ac:dyDescent="0.25">
      <c r="A127" t="s">
        <v>399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222">
        <f t="shared" si="23"/>
        <v>-6.9567151517659423E-2</v>
      </c>
      <c r="I127" s="10"/>
      <c r="J127" s="10"/>
    </row>
    <row r="128" spans="1:10" x14ac:dyDescent="0.25">
      <c r="A128" t="s">
        <v>440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222">
        <f t="shared" si="23"/>
        <v>-4.8100597959901507E-2</v>
      </c>
      <c r="I128" s="10"/>
      <c r="J128" s="10"/>
    </row>
    <row r="129" spans="1:10" x14ac:dyDescent="0.25">
      <c r="A129" t="s">
        <v>461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222">
        <f t="shared" si="23"/>
        <v>-0.1088932703855202</v>
      </c>
      <c r="I129" s="10"/>
      <c r="J129" s="39"/>
    </row>
    <row r="130" spans="1:10" x14ac:dyDescent="0.25">
      <c r="A130" t="s">
        <v>461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222">
        <f t="shared" si="23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222">
        <f t="shared" si="23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222">
        <f t="shared" si="23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222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222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222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222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222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222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222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222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222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222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222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222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222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222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222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222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222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222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212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24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25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24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25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24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25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24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25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24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25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24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25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26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27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26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27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26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27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26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27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26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27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26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27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26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27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26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27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26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27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26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26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26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26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26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26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26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582" priority="64">
      <formula>N23&gt;0</formula>
    </cfRule>
    <cfRule type="expression" dxfId="2581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580" priority="58">
      <formula>F79&gt;0</formula>
    </cfRule>
    <cfRule type="expression" dxfId="2579" priority="59">
      <formula>F79&lt;0</formula>
    </cfRule>
  </conditionalFormatting>
  <conditionalFormatting sqref="H79:H97 H101:H118">
    <cfRule type="expression" dxfId="2578" priority="56">
      <formula>H79&gt;0</formula>
    </cfRule>
    <cfRule type="expression" dxfId="2577" priority="57">
      <formula>H79&lt;0</formula>
    </cfRule>
  </conditionalFormatting>
  <conditionalFormatting sqref="I75:I97 I100:I118">
    <cfRule type="expression" dxfId="2576" priority="54">
      <formula>I75&gt;0</formula>
    </cfRule>
    <cfRule type="expression" dxfId="2575" priority="55">
      <formula>I75&lt;0</formula>
    </cfRule>
  </conditionalFormatting>
  <conditionalFormatting sqref="Q7">
    <cfRule type="expression" dxfId="2574" priority="52">
      <formula>Q7&gt;0</formula>
    </cfRule>
    <cfRule type="expression" dxfId="2573" priority="53">
      <formula>Q7&lt;0</formula>
    </cfRule>
  </conditionalFormatting>
  <conditionalFormatting sqref="Q8">
    <cfRule type="expression" dxfId="2572" priority="50">
      <formula>Q8&gt;0</formula>
    </cfRule>
    <cfRule type="expression" dxfId="2571" priority="51">
      <formula>Q8&lt;0</formula>
    </cfRule>
  </conditionalFormatting>
  <conditionalFormatting sqref="F75:F78">
    <cfRule type="expression" dxfId="2570" priority="48">
      <formula>F75&gt;0</formula>
    </cfRule>
    <cfRule type="expression" dxfId="2569" priority="49">
      <formula>F75&lt;0</formula>
    </cfRule>
  </conditionalFormatting>
  <conditionalFormatting sqref="H75:H78">
    <cfRule type="expression" dxfId="2568" priority="46">
      <formula>H75&gt;0</formula>
    </cfRule>
    <cfRule type="expression" dxfId="2567" priority="47">
      <formula>H75&lt;0</formula>
    </cfRule>
  </conditionalFormatting>
  <conditionalFormatting sqref="F100:F114">
    <cfRule type="expression" dxfId="2566" priority="40">
      <formula>F100&gt;0</formula>
    </cfRule>
    <cfRule type="expression" dxfId="2565" priority="41">
      <formula>F100&lt;0</formula>
    </cfRule>
  </conditionalFormatting>
  <conditionalFormatting sqref="H100:H114">
    <cfRule type="expression" dxfId="2564" priority="38">
      <formula>H100&gt;0</formula>
    </cfRule>
    <cfRule type="expression" dxfId="2563" priority="39">
      <formula>H100&lt;0</formula>
    </cfRule>
  </conditionalFormatting>
  <conditionalFormatting sqref="F29:F67">
    <cfRule type="expression" dxfId="2562" priority="36">
      <formula>F29&gt;0</formula>
    </cfRule>
    <cfRule type="expression" dxfId="2561" priority="37">
      <formula>F29&lt;0</formula>
    </cfRule>
  </conditionalFormatting>
  <conditionalFormatting sqref="H29:H63">
    <cfRule type="expression" dxfId="2560" priority="34">
      <formula>H29&gt;0</formula>
    </cfRule>
    <cfRule type="expression" dxfId="2559" priority="35">
      <formula>H29&lt;0</formula>
    </cfRule>
  </conditionalFormatting>
  <conditionalFormatting sqref="J38:J68">
    <cfRule type="expression" dxfId="2558" priority="32">
      <formula>J38&gt;0</formula>
    </cfRule>
    <cfRule type="expression" dxfId="2557" priority="33">
      <formula>J38&lt;0</formula>
    </cfRule>
  </conditionalFormatting>
  <conditionalFormatting sqref="J43">
    <cfRule type="expression" dxfId="2556" priority="30">
      <formula>J43&gt;0</formula>
    </cfRule>
    <cfRule type="expression" dxfId="2555" priority="31">
      <formula>J43&lt;0</formula>
    </cfRule>
  </conditionalFormatting>
  <conditionalFormatting sqref="Q9">
    <cfRule type="expression" dxfId="2554" priority="24">
      <formula>Q9&gt;0</formula>
    </cfRule>
    <cfRule type="expression" dxfId="2553" priority="25">
      <formula>Q9&lt;0</formula>
    </cfRule>
  </conditionalFormatting>
  <conditionalFormatting sqref="R4">
    <cfRule type="expression" dxfId="2552" priority="26">
      <formula>R4&gt;0</formula>
    </cfRule>
    <cfRule type="expression" dxfId="2551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550" priority="21">
      <formula>F120&gt;0</formula>
    </cfRule>
    <cfRule type="expression" dxfId="2549" priority="22">
      <formula>F120&lt;0</formula>
    </cfRule>
  </conditionalFormatting>
  <conditionalFormatting sqref="H120:H160">
    <cfRule type="expression" dxfId="2548" priority="19">
      <formula>H120&gt;0</formula>
    </cfRule>
    <cfRule type="expression" dxfId="2547" priority="20">
      <formula>H120&lt;0</formula>
    </cfRule>
  </conditionalFormatting>
  <conditionalFormatting sqref="J129:J160">
    <cfRule type="expression" dxfId="2546" priority="17">
      <formula>J129&gt;0</formula>
    </cfRule>
    <cfRule type="expression" dxfId="2545" priority="18">
      <formula>J129&lt;0</formula>
    </cfRule>
  </conditionalFormatting>
  <conditionalFormatting sqref="J134">
    <cfRule type="expression" dxfId="2544" priority="15">
      <formula>J134&gt;0</formula>
    </cfRule>
    <cfRule type="expression" dxfId="2543" priority="16">
      <formula>J134&lt;0</formula>
    </cfRule>
  </conditionalFormatting>
  <conditionalFormatting sqref="J31:J40">
    <cfRule type="expression" dxfId="2542" priority="13">
      <formula>J31&gt;0</formula>
    </cfRule>
    <cfRule type="expression" dxfId="2541" priority="14">
      <formula>J31&lt;0</formula>
    </cfRule>
  </conditionalFormatting>
  <conditionalFormatting sqref="J36:J37">
    <cfRule type="expression" dxfId="2540" priority="11">
      <formula>J36&gt;0</formula>
    </cfRule>
    <cfRule type="expression" dxfId="2539" priority="12">
      <formula>J36&lt;0</formula>
    </cfRule>
  </conditionalFormatting>
  <conditionalFormatting sqref="Q10">
    <cfRule type="expression" dxfId="2538" priority="9">
      <formula>Q10&gt;0</formula>
    </cfRule>
    <cfRule type="expression" dxfId="2537" priority="10">
      <formula>Q10&lt;0</formula>
    </cfRule>
  </conditionalFormatting>
  <conditionalFormatting sqref="K38:K55 K57:K68">
    <cfRule type="expression" dxfId="2536" priority="7">
      <formula>K38&gt;0</formula>
    </cfRule>
    <cfRule type="expression" dxfId="2535" priority="8">
      <formula>K38&lt;0</formula>
    </cfRule>
  </conditionalFormatting>
  <conditionalFormatting sqref="K43">
    <cfRule type="expression" dxfId="2534" priority="5">
      <formula>K43&gt;0</formula>
    </cfRule>
    <cfRule type="expression" dxfId="2533" priority="6">
      <formula>K43&lt;0</formula>
    </cfRule>
  </conditionalFormatting>
  <conditionalFormatting sqref="K31:K40">
    <cfRule type="expression" dxfId="2532" priority="3">
      <formula>K31&gt;0</formula>
    </cfRule>
    <cfRule type="expression" dxfId="2531" priority="4">
      <formula>K31&lt;0</formula>
    </cfRule>
  </conditionalFormatting>
  <conditionalFormatting sqref="K36:K37">
    <cfRule type="expression" dxfId="2530" priority="1">
      <formula>K36&gt;0</formula>
    </cfRule>
    <cfRule type="expression" dxfId="2529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1220</v>
      </c>
      <c r="B2" s="474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2868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2807.0702999999999</v>
      </c>
      <c r="R4" s="495">
        <v>-1.34E-2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5614.1405999999997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5736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-121.85940000000028</v>
      </c>
      <c r="R7" s="29">
        <v>43332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-121.85940000000028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-2.1244665271966577E-2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965</v>
      </c>
      <c r="Q13" s="2"/>
    </row>
    <row r="14" spans="1:21" x14ac:dyDescent="0.25">
      <c r="H14" s="70"/>
      <c r="O14" s="11" t="s">
        <v>1053</v>
      </c>
      <c r="Q14" s="1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</v>
      </c>
      <c r="D18" s="18"/>
      <c r="E18" s="18"/>
      <c r="F18" s="18">
        <f>SUM(F2:F8)</f>
        <v>5736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1" t="s">
        <v>78</v>
      </c>
      <c r="P22" s="851"/>
    </row>
    <row r="23" spans="1:17" ht="15.75" thickTop="1" x14ac:dyDescent="0.25">
      <c r="O23" s="81">
        <v>1.1000000000000001</v>
      </c>
      <c r="P23" s="81">
        <f>O23*$Q$4</f>
        <v>3087.7773299999999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965</v>
      </c>
      <c r="L24" s="220"/>
      <c r="O24" s="81">
        <v>1.0900000000000001</v>
      </c>
      <c r="P24" s="81">
        <f t="shared" ref="P24:P43" si="0">O24*$Q$4</f>
        <v>3059.706627</v>
      </c>
      <c r="Q24" s="2"/>
    </row>
    <row r="25" spans="1:17" x14ac:dyDescent="0.25">
      <c r="B25" s="184">
        <v>43301</v>
      </c>
      <c r="C25" s="10">
        <v>2</v>
      </c>
      <c r="D25" s="39">
        <v>2868</v>
      </c>
      <c r="E25" s="39">
        <v>2910</v>
      </c>
      <c r="F25" s="39">
        <f>C25*(E25-D25)</f>
        <v>84</v>
      </c>
      <c r="G25" s="39">
        <f>D25*C25</f>
        <v>5736</v>
      </c>
      <c r="H25" s="222">
        <f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3031.6359240000002</v>
      </c>
      <c r="Q25" s="2"/>
    </row>
    <row r="26" spans="1:17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1.07</v>
      </c>
      <c r="P26" s="81">
        <f t="shared" si="0"/>
        <v>3003.5652209999998</v>
      </c>
      <c r="Q26" s="2"/>
    </row>
    <row r="27" spans="1:17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O27" s="81">
        <v>1.06</v>
      </c>
      <c r="P27" s="81">
        <f t="shared" si="0"/>
        <v>2975.494518</v>
      </c>
      <c r="Q27" s="2"/>
    </row>
    <row r="28" spans="1:17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1.05</v>
      </c>
      <c r="P28" s="81">
        <f t="shared" si="0"/>
        <v>2947.4238150000001</v>
      </c>
      <c r="Q28" s="2"/>
    </row>
    <row r="29" spans="1:17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1.04</v>
      </c>
      <c r="P29" s="81">
        <f t="shared" si="0"/>
        <v>2919.3531119999998</v>
      </c>
      <c r="Q29" s="2"/>
    </row>
    <row r="30" spans="1:17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2891.2824089999999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2863.211706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2835.1410029999997</v>
      </c>
      <c r="Q32" s="2"/>
    </row>
    <row r="33" spans="1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2807.0702999999999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2778.999597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2750.9288939999997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2722.8581909999998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2694.7874879999999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2666.7167849999996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2638.6460819999998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2610.5753789999999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2582.504676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2554.4339730000002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2526.3632699999998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662</v>
      </c>
      <c r="L88" s="220" t="s">
        <v>668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528" priority="31">
      <formula>F47&gt;0</formula>
    </cfRule>
    <cfRule type="expression" dxfId="2527" priority="32">
      <formula>F47&lt;0</formula>
    </cfRule>
  </conditionalFormatting>
  <conditionalFormatting sqref="Q7">
    <cfRule type="expression" dxfId="2526" priority="29">
      <formula>Q7&gt;0</formula>
    </cfRule>
    <cfRule type="expression" dxfId="2525" priority="30">
      <formula>Q7&lt;0</formula>
    </cfRule>
  </conditionalFormatting>
  <conditionalFormatting sqref="Q8">
    <cfRule type="expression" dxfId="2524" priority="27">
      <formula>Q8&gt;0</formula>
    </cfRule>
    <cfRule type="expression" dxfId="2523" priority="28">
      <formula>Q8&lt;0</formula>
    </cfRule>
  </conditionalFormatting>
  <conditionalFormatting sqref="F31:F46">
    <cfRule type="expression" dxfId="2522" priority="25">
      <formula>F31&gt;0</formula>
    </cfRule>
    <cfRule type="expression" dxfId="2521" priority="26">
      <formula>F31&lt;0</formula>
    </cfRule>
  </conditionalFormatting>
  <conditionalFormatting sqref="H31:H46">
    <cfRule type="expression" dxfId="2520" priority="23">
      <formula>H31&gt;0</formula>
    </cfRule>
    <cfRule type="expression" dxfId="2519" priority="24">
      <formula>H31&lt;0</formula>
    </cfRule>
  </conditionalFormatting>
  <conditionalFormatting sqref="Q10">
    <cfRule type="expression" dxfId="2518" priority="21">
      <formula>Q10&gt;0</formula>
    </cfRule>
    <cfRule type="expression" dxfId="2517" priority="22">
      <formula>Q10&lt;0</formula>
    </cfRule>
  </conditionalFormatting>
  <conditionalFormatting sqref="J25:J38">
    <cfRule type="expression" dxfId="2516" priority="19">
      <formula>J25&gt;0</formula>
    </cfRule>
    <cfRule type="expression" dxfId="2515" priority="20">
      <formula>J25&lt;0</formula>
    </cfRule>
  </conditionalFormatting>
  <conditionalFormatting sqref="K38">
    <cfRule type="expression" dxfId="2514" priority="17">
      <formula>K38&gt;0</formula>
    </cfRule>
    <cfRule type="expression" dxfId="2513" priority="18">
      <formula>K38&lt;0</formula>
    </cfRule>
  </conditionalFormatting>
  <conditionalFormatting sqref="L25:L38">
    <cfRule type="expression" dxfId="2512" priority="15">
      <formula>L25&gt;0</formula>
    </cfRule>
    <cfRule type="expression" dxfId="2511" priority="16">
      <formula>L25&lt;0</formula>
    </cfRule>
  </conditionalFormatting>
  <conditionalFormatting sqref="F89:F110">
    <cfRule type="expression" dxfId="2510" priority="13">
      <formula>F89&gt;0</formula>
    </cfRule>
    <cfRule type="expression" dxfId="2509" priority="14">
      <formula>F89&lt;0</formula>
    </cfRule>
  </conditionalFormatting>
  <conditionalFormatting sqref="H89:H110">
    <cfRule type="expression" dxfId="2508" priority="11">
      <formula>H89&gt;0</formula>
    </cfRule>
    <cfRule type="expression" dxfId="2507" priority="12">
      <formula>H89&lt;0</formula>
    </cfRule>
  </conditionalFormatting>
  <conditionalFormatting sqref="J89:J102">
    <cfRule type="expression" dxfId="2506" priority="9">
      <formula>J89&gt;0</formula>
    </cfRule>
    <cfRule type="expression" dxfId="2505" priority="10">
      <formula>J89&lt;0</formula>
    </cfRule>
  </conditionalFormatting>
  <conditionalFormatting sqref="K89:K102">
    <cfRule type="expression" dxfId="2504" priority="7">
      <formula>K89&gt;0</formula>
    </cfRule>
    <cfRule type="expression" dxfId="2503" priority="8">
      <formula>K89&lt;0</formula>
    </cfRule>
  </conditionalFormatting>
  <conditionalFormatting sqref="L89:L102">
    <cfRule type="expression" dxfId="2502" priority="5">
      <formula>L89&gt;0</formula>
    </cfRule>
    <cfRule type="expression" dxfId="2501" priority="6">
      <formula>L89&lt;0</formula>
    </cfRule>
  </conditionalFormatting>
  <conditionalFormatting sqref="F25:F30">
    <cfRule type="expression" dxfId="2500" priority="3">
      <formula>F25&gt;0</formula>
    </cfRule>
    <cfRule type="expression" dxfId="2499" priority="4">
      <formula>F25&lt;0</formula>
    </cfRule>
  </conditionalFormatting>
  <conditionalFormatting sqref="H25:H30">
    <cfRule type="expression" dxfId="2498" priority="1">
      <formula>H25&gt;0</formula>
    </cfRule>
    <cfRule type="expression" dxfId="249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190.35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5"/>
      <c r="AN3" s="225"/>
    </row>
    <row r="4" spans="1:40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190.35</v>
      </c>
      <c r="R4" s="490">
        <v>-1.1999999999999999E-3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T9" s="151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206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2">
        <f t="shared" ref="H25:H34" si="4">(E25-D25)/D25</f>
        <v>-1.238225799318918E-3</v>
      </c>
      <c r="I25" s="222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2">
        <f t="shared" si="4"/>
        <v>3.7898553929155768E-2</v>
      </c>
      <c r="I26" s="222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2">
        <f t="shared" si="4"/>
        <v>0.10135762614425338</v>
      </c>
      <c r="I27" s="223" t="s">
        <v>211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2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2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2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2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2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2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2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2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2">
        <f t="shared" si="7"/>
        <v>0.14518090256269062</v>
      </c>
      <c r="I36" s="227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2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2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2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2">
        <f t="shared" si="7"/>
        <v>0.11661734003257848</v>
      </c>
      <c r="I40" s="39"/>
      <c r="T40" s="135" t="s">
        <v>97</v>
      </c>
      <c r="U40" s="351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2">
        <f t="shared" si="7"/>
        <v>0.44132995377963341</v>
      </c>
      <c r="I41" s="39" t="s">
        <v>247</v>
      </c>
      <c r="T41" s="106" t="s">
        <v>98</v>
      </c>
      <c r="U41" s="352">
        <v>144.63999999999999</v>
      </c>
      <c r="W41" s="130">
        <v>42775</v>
      </c>
      <c r="X41" s="10" t="s">
        <v>204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57" t="s">
        <v>78</v>
      </c>
      <c r="P42" s="857"/>
      <c r="T42" s="106" t="s">
        <v>99</v>
      </c>
      <c r="U42" s="352" t="s">
        <v>558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209.38500000000002</v>
      </c>
      <c r="Q43" s="2"/>
      <c r="T43" s="106" t="s">
        <v>100</v>
      </c>
      <c r="U43" s="352" t="s">
        <v>559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8">O44*$Q$4</f>
        <v>207.48150000000001</v>
      </c>
      <c r="Q44" s="2"/>
      <c r="T44" s="106" t="s">
        <v>101</v>
      </c>
      <c r="U44" s="352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8"/>
        <v>205.578</v>
      </c>
      <c r="Q45" s="2"/>
      <c r="T45" s="106" t="s">
        <v>102</v>
      </c>
      <c r="U45" s="352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8"/>
        <v>203.67449999999999</v>
      </c>
      <c r="Q46" s="2"/>
      <c r="T46" s="106" t="s">
        <v>121</v>
      </c>
      <c r="U46" s="352" t="s">
        <v>383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8"/>
        <v>201.77100000000002</v>
      </c>
      <c r="Q47" s="2"/>
      <c r="T47" s="106"/>
      <c r="U47" s="352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199.86750000000001</v>
      </c>
      <c r="Q48" s="2"/>
      <c r="T48" s="106" t="s">
        <v>104</v>
      </c>
      <c r="U48" s="352" t="s">
        <v>560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197.964</v>
      </c>
      <c r="Q49" s="2"/>
      <c r="T49" s="106" t="s">
        <v>105</v>
      </c>
      <c r="U49" s="352" t="s">
        <v>561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196.06049999999999</v>
      </c>
      <c r="Q50" s="2"/>
      <c r="T50" s="106" t="s">
        <v>106</v>
      </c>
      <c r="U50" s="353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194.15700000000001</v>
      </c>
      <c r="Q51" s="2"/>
      <c r="T51" s="106" t="s">
        <v>109</v>
      </c>
      <c r="U51" s="353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192.2535</v>
      </c>
      <c r="Q52" s="2"/>
      <c r="T52" s="106" t="s">
        <v>107</v>
      </c>
      <c r="U52" s="352" t="s">
        <v>562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190.35</v>
      </c>
      <c r="Q53" s="2"/>
      <c r="T53" s="106" t="s">
        <v>110</v>
      </c>
      <c r="U53" s="352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188.44649999999999</v>
      </c>
      <c r="Q54" s="2"/>
      <c r="T54" s="106" t="s">
        <v>111</v>
      </c>
      <c r="U54" s="352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186.54299999999998</v>
      </c>
      <c r="Q55" s="2"/>
      <c r="T55" s="106" t="s">
        <v>108</v>
      </c>
      <c r="U55" s="352" t="s">
        <v>525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8"/>
        <v>184.6395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4" t="s">
        <v>201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8"/>
        <v>182.73599999999999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8"/>
        <v>180.83249999999998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8"/>
        <v>178.92899999999997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8"/>
        <v>177.02549999999999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8"/>
        <v>175.12200000000001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8"/>
        <v>173.21850000000001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8"/>
        <v>171.315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  <c r="W69" s="273" t="s">
        <v>120</v>
      </c>
      <c r="AB69" s="226"/>
    </row>
    <row r="70" spans="1:31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496" priority="35">
      <formula>N19&gt;0</formula>
    </cfRule>
    <cfRule type="expression" dxfId="2495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494" priority="21">
      <formula>F25&gt;0</formula>
    </cfRule>
    <cfRule type="expression" dxfId="2493" priority="22">
      <formula>F25&lt;0</formula>
    </cfRule>
  </conditionalFormatting>
  <conditionalFormatting sqref="H25:H47">
    <cfRule type="expression" dxfId="2492" priority="19">
      <formula>H25&gt;0</formula>
    </cfRule>
    <cfRule type="expression" dxfId="2491" priority="20">
      <formula>H25&lt;0</formula>
    </cfRule>
  </conditionalFormatting>
  <conditionalFormatting sqref="I25:I27">
    <cfRule type="expression" dxfId="2490" priority="15">
      <formula>I25&gt;0</formula>
    </cfRule>
    <cfRule type="expression" dxfId="2489" priority="16">
      <formula>I25&lt;0</formula>
    </cfRule>
  </conditionalFormatting>
  <conditionalFormatting sqref="Q7">
    <cfRule type="expression" dxfId="2488" priority="5">
      <formula>Q7&gt;0</formula>
    </cfRule>
    <cfRule type="expression" dxfId="2487" priority="6">
      <formula>Q7&lt;0</formula>
    </cfRule>
  </conditionalFormatting>
  <conditionalFormatting sqref="Q8">
    <cfRule type="expression" dxfId="2486" priority="3">
      <formula>Q8&gt;0</formula>
    </cfRule>
    <cfRule type="expression" dxfId="2485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242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99.91</v>
      </c>
      <c r="T3" s="1">
        <v>42572</v>
      </c>
      <c r="U3" t="s">
        <v>233</v>
      </c>
      <c r="W3" s="130">
        <v>42830</v>
      </c>
      <c r="X3" s="10" t="s">
        <v>289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99.91</v>
      </c>
      <c r="R4" s="475">
        <v>0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207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206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241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7" t="s">
        <v>78</v>
      </c>
      <c r="P40" s="857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109.90100000000001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108.9019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107.9028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106.9037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105.9046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104.9055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103.9064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102.90729999999999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101.90819999999999</v>
      </c>
      <c r="Q49" s="2"/>
      <c r="T49" s="91" t="s">
        <v>103</v>
      </c>
      <c r="U49" s="127" t="s">
        <v>508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223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100.9091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99.91</v>
      </c>
      <c r="Q51" s="2"/>
      <c r="T51" s="91" t="s">
        <v>104</v>
      </c>
      <c r="U51" s="127" t="s">
        <v>563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98.910899999999998</v>
      </c>
      <c r="Q52" s="2"/>
      <c r="T52" s="91" t="s">
        <v>105</v>
      </c>
      <c r="U52" s="127" t="s">
        <v>466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97.911799999999999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96.912700000000001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95.913599999999988</v>
      </c>
      <c r="T55" s="91" t="s">
        <v>107</v>
      </c>
      <c r="U55" s="127" t="s">
        <v>564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94.91449999999999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93.915399999999991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92.916300000000007</v>
      </c>
      <c r="T58" s="91" t="s">
        <v>108</v>
      </c>
      <c r="U58" s="127" t="s">
        <v>532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91.917199999999994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90.918099999999995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89.918999999999997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289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484" priority="9">
      <formula>F36&gt;0</formula>
    </cfRule>
    <cfRule type="expression" dxfId="2483" priority="10">
      <formula>F36&lt;0</formula>
    </cfRule>
  </conditionalFormatting>
  <conditionalFormatting sqref="F25:F35">
    <cfRule type="expression" dxfId="2482" priority="7">
      <formula>F25&gt;0</formula>
    </cfRule>
    <cfRule type="expression" dxfId="2481" priority="8">
      <formula>F25&lt;0</formula>
    </cfRule>
  </conditionalFormatting>
  <conditionalFormatting sqref="H25:H35">
    <cfRule type="expression" dxfId="2480" priority="5">
      <formula>H25&gt;0</formula>
    </cfRule>
    <cfRule type="expression" dxfId="2479" priority="6">
      <formula>H25&lt;0</formula>
    </cfRule>
  </conditionalFormatting>
  <conditionalFormatting sqref="Q7">
    <cfRule type="expression" dxfId="2478" priority="3">
      <formula>Q7&gt;0</formula>
    </cfRule>
    <cfRule type="expression" dxfId="2477" priority="4">
      <formula>Q7&lt;0</formula>
    </cfRule>
  </conditionalFormatting>
  <conditionalFormatting sqref="Q8">
    <cfRule type="expression" dxfId="2476" priority="1">
      <formula>Q8&gt;0</formula>
    </cfRule>
    <cfRule type="expression" dxfId="2475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100.01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100.01</v>
      </c>
      <c r="R4" s="495">
        <v>1.6500000000000001E-2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V9" s="134"/>
    </row>
    <row r="10" spans="1:22" x14ac:dyDescent="0.25">
      <c r="H10" s="70"/>
      <c r="O10" s="11" t="s">
        <v>206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689</v>
      </c>
      <c r="P20" s="7" t="s">
        <v>690</v>
      </c>
      <c r="Q20" s="7" t="s">
        <v>691</v>
      </c>
      <c r="R20" s="7"/>
      <c r="V20" s="134"/>
    </row>
    <row r="21" spans="1:22" x14ac:dyDescent="0.25">
      <c r="O21" s="7" t="s">
        <v>692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693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694</v>
      </c>
      <c r="P23" s="7" t="s">
        <v>695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662</v>
      </c>
      <c r="L24" s="220" t="s">
        <v>668</v>
      </c>
      <c r="O24" s="7" t="s">
        <v>677</v>
      </c>
      <c r="P24" s="7" t="s">
        <v>696</v>
      </c>
      <c r="Q24" s="7" t="s">
        <v>696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222">
        <f>(E25-D25)/D25</f>
        <v>6.062276109120939E-3</v>
      </c>
      <c r="I25" s="39"/>
      <c r="J25" s="39"/>
      <c r="K25" s="39"/>
      <c r="L25" s="39"/>
      <c r="O25" s="7" t="s">
        <v>694</v>
      </c>
      <c r="P25" s="7" t="s">
        <v>697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222">
        <f>(E26-D26)/D26</f>
        <v>1.0608983190961643E-2</v>
      </c>
      <c r="I26" s="39"/>
      <c r="J26" s="39"/>
      <c r="K26" s="39"/>
      <c r="L26" s="39"/>
      <c r="O26" s="7" t="s">
        <v>698</v>
      </c>
      <c r="P26" s="7" t="s">
        <v>690</v>
      </c>
      <c r="Q26" s="7" t="s">
        <v>691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222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222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693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222">
        <f t="shared" si="2"/>
        <v>1.8202184262110816E-3</v>
      </c>
      <c r="I29" s="39"/>
      <c r="J29" s="39"/>
      <c r="K29" s="39"/>
      <c r="L29" s="155"/>
      <c r="O29" s="7" t="s">
        <v>677</v>
      </c>
      <c r="P29" s="7" t="s">
        <v>696</v>
      </c>
      <c r="Q29" s="7" t="s">
        <v>696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222">
        <f t="shared" si="2"/>
        <v>3.3869920366382984E-2</v>
      </c>
      <c r="I30" s="39"/>
      <c r="J30" s="39">
        <v>277.22000000000003</v>
      </c>
      <c r="K30" s="39"/>
      <c r="L30" s="155"/>
      <c r="O30" s="7" t="s">
        <v>699</v>
      </c>
      <c r="P30" s="7" t="s">
        <v>690</v>
      </c>
      <c r="Q30" s="7" t="s">
        <v>691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222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222">
        <f t="shared" si="2"/>
        <v>5.5165922994495093E-3</v>
      </c>
      <c r="I32" s="39"/>
      <c r="J32" s="39">
        <v>197.22</v>
      </c>
      <c r="K32" s="39"/>
      <c r="L32" s="155"/>
      <c r="O32" s="7" t="s">
        <v>692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222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222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222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222">
        <f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222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222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57" t="s">
        <v>78</v>
      </c>
      <c r="P40" s="857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110.01100000000001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109.01090000000001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108.01080000000002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3"/>
        <v>107.01070000000001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106.01060000000001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105.01050000000001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104.0104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103.0103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102.01020000000001</v>
      </c>
      <c r="Q49" s="2"/>
      <c r="T49" s="91" t="s">
        <v>121</v>
      </c>
      <c r="U49" s="127" t="s">
        <v>501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101.01010000000001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100.01</v>
      </c>
      <c r="Q51" s="2"/>
      <c r="T51" s="91" t="s">
        <v>104</v>
      </c>
      <c r="U51" s="127" t="s">
        <v>565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99.009900000000002</v>
      </c>
      <c r="Q52" s="2"/>
      <c r="T52" s="91" t="s">
        <v>105</v>
      </c>
      <c r="U52" s="127" t="s">
        <v>307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98.009799999999998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97.009700000000009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96.009600000000006</v>
      </c>
      <c r="T55" s="91" t="s">
        <v>107</v>
      </c>
      <c r="U55" s="127" t="s">
        <v>566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95.009500000000003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94.009399999999999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93.00930000000001</v>
      </c>
      <c r="T58" s="91" t="s">
        <v>108</v>
      </c>
      <c r="U58" s="127" t="s">
        <v>533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92.009200000000007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91.009100000000004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90.009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263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222">
        <f t="shared" ref="H89:H100" si="6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222">
        <f t="shared" si="6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222">
        <f t="shared" si="6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222">
        <f t="shared" si="6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222">
        <f t="shared" si="6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222">
        <f t="shared" si="6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222">
        <f t="shared" si="6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222">
        <f t="shared" si="6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222">
        <f t="shared" si="6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222">
        <f t="shared" si="6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222">
        <f t="shared" si="6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222">
        <f t="shared" si="6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474" priority="37">
      <formula>F25&gt;0</formula>
    </cfRule>
    <cfRule type="expression" dxfId="2473" priority="38">
      <formula>F25&lt;0</formula>
    </cfRule>
  </conditionalFormatting>
  <conditionalFormatting sqref="Q7">
    <cfRule type="expression" dxfId="2472" priority="35">
      <formula>Q7&gt;0</formula>
    </cfRule>
    <cfRule type="expression" dxfId="2471" priority="36">
      <formula>Q7&lt;0</formula>
    </cfRule>
  </conditionalFormatting>
  <conditionalFormatting sqref="Q8">
    <cfRule type="expression" dxfId="2470" priority="33">
      <formula>Q8&gt;0</formula>
    </cfRule>
    <cfRule type="expression" dxfId="2469" priority="34">
      <formula>Q8&lt;0</formula>
    </cfRule>
  </conditionalFormatting>
  <conditionalFormatting sqref="F44:F46">
    <cfRule type="expression" dxfId="2468" priority="31">
      <formula>F44&gt;0</formula>
    </cfRule>
    <cfRule type="expression" dxfId="2467" priority="32">
      <formula>F44&lt;0</formula>
    </cfRule>
  </conditionalFormatting>
  <conditionalFormatting sqref="H44:H46">
    <cfRule type="expression" dxfId="2466" priority="29">
      <formula>H44&gt;0</formula>
    </cfRule>
    <cfRule type="expression" dxfId="2465" priority="30">
      <formula>H44&lt;0</formula>
    </cfRule>
  </conditionalFormatting>
  <conditionalFormatting sqref="F89:F110">
    <cfRule type="expression" dxfId="2464" priority="27">
      <formula>F89&gt;0</formula>
    </cfRule>
    <cfRule type="expression" dxfId="2463" priority="28">
      <formula>F89&lt;0</formula>
    </cfRule>
  </conditionalFormatting>
  <conditionalFormatting sqref="H89:H110">
    <cfRule type="expression" dxfId="2462" priority="25">
      <formula>H89&gt;0</formula>
    </cfRule>
    <cfRule type="expression" dxfId="2461" priority="26">
      <formula>H89&lt;0</formula>
    </cfRule>
  </conditionalFormatting>
  <conditionalFormatting sqref="Q10">
    <cfRule type="expression" dxfId="2460" priority="23">
      <formula>Q10&gt;0</formula>
    </cfRule>
    <cfRule type="expression" dxfId="2459" priority="24">
      <formula>Q10&lt;0</formula>
    </cfRule>
  </conditionalFormatting>
  <conditionalFormatting sqref="J25:J38">
    <cfRule type="expression" dxfId="2458" priority="21">
      <formula>J25&gt;0</formula>
    </cfRule>
    <cfRule type="expression" dxfId="2457" priority="22">
      <formula>J25&lt;0</formula>
    </cfRule>
  </conditionalFormatting>
  <conditionalFormatting sqref="K25:K38">
    <cfRule type="expression" dxfId="2456" priority="19">
      <formula>K25&gt;0</formula>
    </cfRule>
    <cfRule type="expression" dxfId="2455" priority="20">
      <formula>K25&lt;0</formula>
    </cfRule>
  </conditionalFormatting>
  <conditionalFormatting sqref="L25:L38">
    <cfRule type="expression" dxfId="2454" priority="17">
      <formula>L25&gt;0</formula>
    </cfRule>
    <cfRule type="expression" dxfId="2453" priority="18">
      <formula>L25&lt;0</formula>
    </cfRule>
  </conditionalFormatting>
  <conditionalFormatting sqref="J40">
    <cfRule type="expression" dxfId="2452" priority="15">
      <formula>J40&gt;0</formula>
    </cfRule>
    <cfRule type="expression" dxfId="2451" priority="16">
      <formula>J40&lt;0</formula>
    </cfRule>
  </conditionalFormatting>
  <conditionalFormatting sqref="L39">
    <cfRule type="expression" dxfId="2450" priority="11">
      <formula>L39&gt;0</formula>
    </cfRule>
    <cfRule type="expression" dxfId="2449" priority="12">
      <formula>L39&lt;0</formula>
    </cfRule>
  </conditionalFormatting>
  <conditionalFormatting sqref="F39">
    <cfRule type="expression" dxfId="2448" priority="9">
      <formula>F39&gt;0</formula>
    </cfRule>
    <cfRule type="expression" dxfId="2447" priority="10">
      <formula>F39&lt;0</formula>
    </cfRule>
  </conditionalFormatting>
  <conditionalFormatting sqref="H39">
    <cfRule type="expression" dxfId="2446" priority="7">
      <formula>H39&gt;0</formula>
    </cfRule>
    <cfRule type="expression" dxfId="2445" priority="8">
      <formula>H39&lt;0</formula>
    </cfRule>
  </conditionalFormatting>
  <conditionalFormatting sqref="J41">
    <cfRule type="expression" dxfId="2444" priority="5">
      <formula>J41&gt;0</formula>
    </cfRule>
    <cfRule type="expression" dxfId="2443" priority="6">
      <formula>J41&lt;0</formula>
    </cfRule>
  </conditionalFormatting>
  <conditionalFormatting sqref="J43">
    <cfRule type="expression" dxfId="2442" priority="3">
      <formula>J43&gt;0</formula>
    </cfRule>
    <cfRule type="expression" dxfId="2441" priority="4">
      <formula>J43&lt;0</formula>
    </cfRule>
  </conditionalFormatting>
  <conditionalFormatting sqref="J44">
    <cfRule type="expression" dxfId="2440" priority="1">
      <formula>J44&gt;0</formula>
    </cfRule>
    <cfRule type="expression" dxfId="2439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37.1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37.1</v>
      </c>
      <c r="R4" s="475">
        <v>-1.5699999999999999E-2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207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206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206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57" t="s">
        <v>78</v>
      </c>
      <c r="Q39" s="857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40.81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40.439000000000007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40.068000000000005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39.697000000000003</v>
      </c>
      <c r="R43" s="81"/>
      <c r="T43" s="85" t="s">
        <v>100</v>
      </c>
      <c r="U43" s="127" t="s">
        <v>521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39.326000000000001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38.955000000000005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38.584000000000003</v>
      </c>
      <c r="R46" s="81"/>
      <c r="T46" s="85" t="s">
        <v>121</v>
      </c>
      <c r="U46" s="223" t="s">
        <v>417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38.213000000000001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37.841999999999999</v>
      </c>
      <c r="R48" s="81"/>
      <c r="T48" s="85" t="s">
        <v>104</v>
      </c>
      <c r="U48" s="127" t="s">
        <v>567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37.471000000000004</v>
      </c>
      <c r="R49" s="81"/>
      <c r="T49" s="85" t="s">
        <v>105</v>
      </c>
      <c r="U49" s="127" t="s">
        <v>325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37.1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36.728999999999999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36.358000000000004</v>
      </c>
      <c r="R52" s="81"/>
      <c r="T52" s="85" t="s">
        <v>107</v>
      </c>
      <c r="U52" s="127" t="s">
        <v>568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35.987000000000002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35.616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35.244999999999997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34.874000000000002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34.503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34.132000000000005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33.761000000000003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33.39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438" priority="31">
      <formula>F29&gt;0</formula>
    </cfRule>
    <cfRule type="expression" dxfId="2437" priority="32">
      <formula>F29&lt;0</formula>
    </cfRule>
  </conditionalFormatting>
  <conditionalFormatting sqref="F29 F31:F35">
    <cfRule type="expression" dxfId="2436" priority="33">
      <formula>F29&gt;0</formula>
    </cfRule>
    <cfRule type="expression" dxfId="2435" priority="34">
      <formula>F29&lt;0</formula>
    </cfRule>
  </conditionalFormatting>
  <conditionalFormatting sqref="H29 H31:H35">
    <cfRule type="expression" dxfId="2434" priority="29">
      <formula>H29&gt;0</formula>
    </cfRule>
    <cfRule type="expression" dxfId="2433" priority="30">
      <formula>H29&lt;0</formula>
    </cfRule>
  </conditionalFormatting>
  <conditionalFormatting sqref="F21:F28">
    <cfRule type="expression" dxfId="2432" priority="27">
      <formula>F21&gt;0</formula>
    </cfRule>
    <cfRule type="expression" dxfId="2431" priority="28">
      <formula>F21&lt;0</formula>
    </cfRule>
  </conditionalFormatting>
  <conditionalFormatting sqref="H21:H28">
    <cfRule type="expression" dxfId="2430" priority="25">
      <formula>H21&gt;0</formula>
    </cfRule>
    <cfRule type="expression" dxfId="2429" priority="26">
      <formula>H21&lt;0</formula>
    </cfRule>
  </conditionalFormatting>
  <conditionalFormatting sqref="Q8">
    <cfRule type="expression" dxfId="2428" priority="21">
      <formula>Q8&gt;0</formula>
    </cfRule>
    <cfRule type="expression" dxfId="2427" priority="22">
      <formula>Q8&lt;0</formula>
    </cfRule>
  </conditionalFormatting>
  <conditionalFormatting sqref="Q7">
    <cfRule type="expression" dxfId="2426" priority="23">
      <formula>Q7&gt;0</formula>
    </cfRule>
    <cfRule type="expression" dxfId="2425" priority="24">
      <formula>Q7&lt;0</formula>
    </cfRule>
  </conditionalFormatting>
  <conditionalFormatting sqref="F30">
    <cfRule type="expression" dxfId="2424" priority="19">
      <formula>F30&gt;0</formula>
    </cfRule>
    <cfRule type="expression" dxfId="2423" priority="20">
      <formula>F30&lt;0</formula>
    </cfRule>
  </conditionalFormatting>
  <conditionalFormatting sqref="H30">
    <cfRule type="expression" dxfId="2422" priority="17">
      <formula>H30&gt;0</formula>
    </cfRule>
    <cfRule type="expression" dxfId="2421" priority="18">
      <formula>H30&lt;0</formula>
    </cfRule>
  </conditionalFormatting>
  <conditionalFormatting sqref="F68 F70:F74">
    <cfRule type="expression" dxfId="2420" priority="13">
      <formula>F68&gt;0</formula>
    </cfRule>
    <cfRule type="expression" dxfId="2419" priority="14">
      <formula>F68&lt;0</formula>
    </cfRule>
  </conditionalFormatting>
  <conditionalFormatting sqref="F68 F70:F74">
    <cfRule type="expression" dxfId="2418" priority="15">
      <formula>F68&gt;0</formula>
    </cfRule>
    <cfRule type="expression" dxfId="2417" priority="16">
      <formula>F68&lt;0</formula>
    </cfRule>
  </conditionalFormatting>
  <conditionalFormatting sqref="H68 H70:H74">
    <cfRule type="expression" dxfId="2416" priority="11">
      <formula>H68&gt;0</formula>
    </cfRule>
    <cfRule type="expression" dxfId="2415" priority="12">
      <formula>H68&lt;0</formula>
    </cfRule>
  </conditionalFormatting>
  <conditionalFormatting sqref="F60:F67">
    <cfRule type="expression" dxfId="2414" priority="9">
      <formula>F60&gt;0</formula>
    </cfRule>
    <cfRule type="expression" dxfId="2413" priority="10">
      <formula>F60&lt;0</formula>
    </cfRule>
  </conditionalFormatting>
  <conditionalFormatting sqref="H60:H67">
    <cfRule type="expression" dxfId="2412" priority="7">
      <formula>H60&gt;0</formula>
    </cfRule>
    <cfRule type="expression" dxfId="2411" priority="8">
      <formula>H60&lt;0</formula>
    </cfRule>
  </conditionalFormatting>
  <conditionalFormatting sqref="F69">
    <cfRule type="expression" dxfId="2410" priority="5">
      <formula>F69&gt;0</formula>
    </cfRule>
    <cfRule type="expression" dxfId="2409" priority="6">
      <formula>F69&lt;0</formula>
    </cfRule>
  </conditionalFormatting>
  <conditionalFormatting sqref="H69">
    <cfRule type="expression" dxfId="2408" priority="3">
      <formula>H69&gt;0</formula>
    </cfRule>
    <cfRule type="expression" dxfId="2407" priority="4">
      <formula>H69&lt;0</formula>
    </cfRule>
  </conditionalFormatting>
  <conditionalFormatting sqref="Q10">
    <cfRule type="expression" dxfId="2406" priority="1">
      <formula>Q10&gt;0</formula>
    </cfRule>
    <cfRule type="expression" dxfId="2405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49.77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49.77</v>
      </c>
      <c r="R4" s="475">
        <v>4.1999999999999997E-3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206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269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282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57" t="s">
        <v>78</v>
      </c>
      <c r="P40" s="857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54.747000000000007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54.249300000000005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53.751600000000003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53.253900000000009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52.756200000000007</v>
      </c>
      <c r="Q45" s="2"/>
      <c r="T45" s="91" t="s">
        <v>99</v>
      </c>
      <c r="U45" s="127" t="s">
        <v>569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264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52.258500000000005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51.760800000000003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51.263100000000001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50.765400000000007</v>
      </c>
      <c r="Q49" s="2"/>
      <c r="T49" s="91" t="s">
        <v>121</v>
      </c>
      <c r="U49" s="127" t="s">
        <v>418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50.267700000000005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49.77</v>
      </c>
      <c r="Q51" s="2"/>
      <c r="T51" s="91" t="s">
        <v>104</v>
      </c>
      <c r="U51" s="127" t="s">
        <v>570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49.272300000000001</v>
      </c>
      <c r="Q52" s="2"/>
      <c r="T52" s="91" t="s">
        <v>105</v>
      </c>
      <c r="U52" s="127" t="s">
        <v>526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48.7746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48.276900000000005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47.779200000000003</v>
      </c>
      <c r="T55" s="91" t="s">
        <v>107</v>
      </c>
      <c r="U55" s="127" t="s">
        <v>571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47.281500000000001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46.783799999999999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46.286100000000005</v>
      </c>
      <c r="T58" s="91" t="s">
        <v>108</v>
      </c>
      <c r="U58" s="127" t="s">
        <v>527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45.788400000000003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45.290700000000001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44.793000000000006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404" priority="11">
      <formula>F33&gt;0</formula>
    </cfRule>
    <cfRule type="expression" dxfId="2403" priority="12">
      <formula>F33&lt;0</formula>
    </cfRule>
  </conditionalFormatting>
  <conditionalFormatting sqref="Q7">
    <cfRule type="expression" dxfId="2402" priority="9">
      <formula>Q7&gt;0</formula>
    </cfRule>
    <cfRule type="expression" dxfId="2401" priority="10">
      <formula>Q7&lt;0</formula>
    </cfRule>
  </conditionalFormatting>
  <conditionalFormatting sqref="Q8">
    <cfRule type="expression" dxfId="2400" priority="7">
      <formula>Q8&gt;0</formula>
    </cfRule>
    <cfRule type="expression" dxfId="2399" priority="8">
      <formula>Q8&lt;0</formula>
    </cfRule>
  </conditionalFormatting>
  <conditionalFormatting sqref="F25:F32">
    <cfRule type="expression" dxfId="2398" priority="5">
      <formula>F25&gt;0</formula>
    </cfRule>
    <cfRule type="expression" dxfId="2397" priority="6">
      <formula>F25&lt;0</formula>
    </cfRule>
  </conditionalFormatting>
  <conditionalFormatting sqref="H25:H32">
    <cfRule type="expression" dxfId="2396" priority="3">
      <formula>H25&gt;0</formula>
    </cfRule>
    <cfRule type="expression" dxfId="2395" priority="4">
      <formula>H25&lt;0</formula>
    </cfRule>
  </conditionalFormatting>
  <conditionalFormatting sqref="Q10">
    <cfRule type="expression" dxfId="2394" priority="1">
      <formula>Q10&gt;0</formula>
    </cfRule>
    <cfRule type="expression" dxfId="2393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323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448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11.51</v>
      </c>
      <c r="T3" s="567" t="s">
        <v>471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11.51</v>
      </c>
      <c r="R4" s="475">
        <v>-1.9599999999999999E-2</v>
      </c>
      <c r="T4" s="156" t="s">
        <v>472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473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830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5" si="2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207</v>
      </c>
      <c r="Q9" s="222">
        <f>IF(Q2=0, 0, Q8/Q6)</f>
        <v>0</v>
      </c>
      <c r="T9" s="29">
        <v>43103</v>
      </c>
      <c r="U9" t="s">
        <v>822</v>
      </c>
      <c r="AA9" s="2"/>
      <c r="AD9" s="2"/>
      <c r="AG9" s="2"/>
      <c r="AI9" s="2"/>
    </row>
    <row r="10" spans="1:39" x14ac:dyDescent="0.25">
      <c r="A10" t="s">
        <v>774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206</v>
      </c>
      <c r="P10" s="33"/>
      <c r="Q10" s="2">
        <f>M58</f>
        <v>1283.4199999999946</v>
      </c>
      <c r="U10" t="s">
        <v>823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824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76"/>
      <c r="I12" s="3"/>
      <c r="J12" s="3"/>
      <c r="K12" s="3"/>
      <c r="L12" s="4"/>
      <c r="M12" s="4"/>
      <c r="O12" s="11" t="s">
        <v>987</v>
      </c>
      <c r="Q12" s="1"/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76"/>
      <c r="I13" s="3"/>
      <c r="J13" s="3"/>
      <c r="K13" s="3"/>
      <c r="L13" s="4"/>
      <c r="M13" s="4"/>
      <c r="O13" s="11" t="s">
        <v>965</v>
      </c>
      <c r="Q13">
        <f>Q4/0.32</f>
        <v>35.96875</v>
      </c>
      <c r="U13" t="s">
        <v>831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57" t="s">
        <v>78</v>
      </c>
      <c r="P15" s="857"/>
      <c r="T15" s="1">
        <v>43114</v>
      </c>
      <c r="U15" t="s">
        <v>862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13.236499999999999</v>
      </c>
      <c r="U16" s="475" t="s">
        <v>863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13.1214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13.006299999999998</v>
      </c>
      <c r="T18" s="1">
        <v>43140</v>
      </c>
      <c r="U18" t="s">
        <v>917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si="3"/>
        <v>12.891200000000001</v>
      </c>
      <c r="X19" s="134"/>
    </row>
    <row r="20" spans="1:39" x14ac:dyDescent="0.25">
      <c r="O20" s="81">
        <v>1.1100000000000001</v>
      </c>
      <c r="P20" s="81">
        <f t="shared" si="3"/>
        <v>12.776100000000001</v>
      </c>
      <c r="T20" s="1">
        <v>43152</v>
      </c>
      <c r="U20" t="s">
        <v>921</v>
      </c>
      <c r="X20" s="134"/>
    </row>
    <row r="21" spans="1:39" x14ac:dyDescent="0.25">
      <c r="O21" s="81">
        <v>1.1000000000000001</v>
      </c>
      <c r="P21" s="81">
        <f t="shared" si="3"/>
        <v>12.661000000000001</v>
      </c>
      <c r="X21" s="134"/>
    </row>
    <row r="22" spans="1:39" x14ac:dyDescent="0.25">
      <c r="O22" s="81">
        <v>1.0900000000000001</v>
      </c>
      <c r="P22" s="81">
        <f t="shared" si="3"/>
        <v>12.545900000000001</v>
      </c>
      <c r="T22" s="1">
        <v>43160</v>
      </c>
      <c r="U22" t="s">
        <v>869</v>
      </c>
      <c r="X22" s="134"/>
    </row>
    <row r="23" spans="1:39" x14ac:dyDescent="0.25">
      <c r="O23" s="81">
        <v>1.08</v>
      </c>
      <c r="P23" s="81">
        <f t="shared" si="3"/>
        <v>12.430800000000001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494</v>
      </c>
      <c r="O24" s="81">
        <v>1.07</v>
      </c>
      <c r="P24" s="81">
        <f t="shared" si="3"/>
        <v>12.3157</v>
      </c>
      <c r="T24" s="1">
        <v>43191</v>
      </c>
      <c r="U24" t="s">
        <v>985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222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12.2006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222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12.0855</v>
      </c>
      <c r="T26" s="1">
        <v>43237</v>
      </c>
      <c r="U26" t="s">
        <v>1081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222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11.9704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222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11.8553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222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11.7402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222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11.6251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222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11.51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222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11.3949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222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11.2798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222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11.1647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222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11.0496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222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10.9345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222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10.8194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222">
        <f t="shared" si="10"/>
        <v>-9.2027895528510886E-2</v>
      </c>
      <c r="I38" s="508" t="s">
        <v>900</v>
      </c>
      <c r="J38" s="39">
        <v>880</v>
      </c>
      <c r="K38" s="39"/>
      <c r="L38" s="4"/>
      <c r="O38" s="81">
        <v>0.93</v>
      </c>
      <c r="P38" s="81">
        <f t="shared" si="7"/>
        <v>10.7043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222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10.5892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222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10.4741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222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10.359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222">
        <f t="shared" si="13"/>
        <v>-0.12763875297078142</v>
      </c>
      <c r="I42" s="508" t="s">
        <v>901</v>
      </c>
      <c r="J42" s="39">
        <v>736</v>
      </c>
      <c r="K42" s="39"/>
      <c r="L42" s="4"/>
      <c r="O42" s="81">
        <v>0.89</v>
      </c>
      <c r="P42" s="81">
        <f>O42*$Q$4</f>
        <v>10.2439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222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10.1288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222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10.0137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222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222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222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478</v>
      </c>
      <c r="T47" s="567" t="s">
        <v>471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222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482</v>
      </c>
      <c r="T48" s="22" t="s">
        <v>481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222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483</v>
      </c>
      <c r="T49" s="22" t="s">
        <v>484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222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485</v>
      </c>
      <c r="T50" s="22" t="s">
        <v>486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222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222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222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489</v>
      </c>
      <c r="T53" s="22" t="s">
        <v>479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488</v>
      </c>
      <c r="T54" s="22" t="s">
        <v>480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487</v>
      </c>
      <c r="T55" s="22" t="s">
        <v>490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279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19">C83*(E83-D83)</f>
        <v>-67.999999999999829</v>
      </c>
      <c r="G83" s="363">
        <f t="shared" ref="G83:G92" si="20">D83*C83</f>
        <v>2110.4</v>
      </c>
      <c r="H83" s="364">
        <f t="shared" ref="H83:H92" si="21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19"/>
        <v>-65.999999999999659</v>
      </c>
      <c r="G84" s="363">
        <f t="shared" si="20"/>
        <v>3129.6</v>
      </c>
      <c r="H84" s="364">
        <f t="shared" si="21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19"/>
        <v>-9.5999999999997954</v>
      </c>
      <c r="G85" s="363">
        <f t="shared" si="20"/>
        <v>3129.6</v>
      </c>
      <c r="H85" s="364">
        <f t="shared" si="21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19"/>
        <v>61.200000000000188</v>
      </c>
      <c r="G86" s="363">
        <f t="shared" si="20"/>
        <v>3129.6</v>
      </c>
      <c r="H86" s="364">
        <f t="shared" si="21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19"/>
        <v>-61.199999999999477</v>
      </c>
      <c r="G87" s="363">
        <f t="shared" si="20"/>
        <v>5103.2</v>
      </c>
      <c r="H87" s="364">
        <f t="shared" si="21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19"/>
        <v>-37.199999999999989</v>
      </c>
      <c r="G88" s="363">
        <f t="shared" si="20"/>
        <v>5103.2</v>
      </c>
      <c r="H88" s="364">
        <f t="shared" si="21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19"/>
        <v>146.80000000000035</v>
      </c>
      <c r="G89" s="363">
        <f t="shared" si="20"/>
        <v>5103.2</v>
      </c>
      <c r="H89" s="364">
        <f t="shared" si="21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19"/>
        <v>180.80000000000069</v>
      </c>
      <c r="G90" s="363">
        <f t="shared" si="20"/>
        <v>5103.2</v>
      </c>
      <c r="H90" s="364">
        <f t="shared" si="21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19"/>
        <v>214.24000000000021</v>
      </c>
      <c r="G91" s="363">
        <f t="shared" si="20"/>
        <v>2454.7599999999998</v>
      </c>
      <c r="H91" s="364">
        <f t="shared" si="21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19"/>
        <v>270.63199999999995</v>
      </c>
      <c r="G92" s="363">
        <f t="shared" si="20"/>
        <v>1908.568</v>
      </c>
      <c r="H92" s="364">
        <f t="shared" si="21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662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222">
        <f t="shared" ref="H96:H120" si="24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222">
        <f t="shared" si="24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222">
        <f t="shared" si="24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222">
        <f t="shared" si="24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222">
        <f t="shared" si="24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222">
        <f t="shared" si="24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222">
        <f t="shared" si="24"/>
        <v>-3.5332204800255382E-2</v>
      </c>
      <c r="I102" s="39"/>
      <c r="J102" s="39"/>
      <c r="K102" s="39"/>
    </row>
    <row r="103" spans="1:11" x14ac:dyDescent="0.25">
      <c r="A103" t="s">
        <v>334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222">
        <f t="shared" si="24"/>
        <v>-2.4206047610653314E-2</v>
      </c>
      <c r="I103" s="39" t="s">
        <v>328</v>
      </c>
      <c r="J103" s="39"/>
      <c r="K103" s="39"/>
    </row>
    <row r="104" spans="1:11" x14ac:dyDescent="0.25">
      <c r="A104" t="s">
        <v>334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222">
        <f t="shared" si="24"/>
        <v>6.1370022415326402E-3</v>
      </c>
      <c r="I104" s="39"/>
      <c r="J104" s="39"/>
      <c r="K104" s="39"/>
    </row>
    <row r="105" spans="1:11" x14ac:dyDescent="0.25">
      <c r="A105" t="s">
        <v>364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222">
        <f t="shared" si="24"/>
        <v>-8.7937048285907406E-3</v>
      </c>
      <c r="I105" s="39"/>
      <c r="J105" s="39"/>
      <c r="K105" s="39"/>
    </row>
    <row r="106" spans="1:11" x14ac:dyDescent="0.25">
      <c r="A106" t="s">
        <v>374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222">
        <f t="shared" si="24"/>
        <v>4.1863850405960017E-2</v>
      </c>
      <c r="I106" s="39"/>
      <c r="J106" s="39"/>
      <c r="K106" s="39"/>
    </row>
    <row r="107" spans="1:11" x14ac:dyDescent="0.25">
      <c r="A107" t="s">
        <v>382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222">
        <f t="shared" si="24"/>
        <v>1.4005943985984596E-3</v>
      </c>
      <c r="I107" s="39"/>
      <c r="J107" s="39"/>
      <c r="K107" s="39"/>
    </row>
    <row r="108" spans="1:11" x14ac:dyDescent="0.25">
      <c r="A108" t="s">
        <v>402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222">
        <f t="shared" si="24"/>
        <v>-3.5071533134049267E-2</v>
      </c>
      <c r="I108" s="39"/>
      <c r="J108" s="39"/>
      <c r="K108" s="39"/>
    </row>
    <row r="109" spans="1:11" x14ac:dyDescent="0.25">
      <c r="A109" t="s">
        <v>334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222">
        <f t="shared" si="24"/>
        <v>-1.2436801121895361E-2</v>
      </c>
      <c r="I109" s="39"/>
      <c r="J109" s="39"/>
      <c r="K109" s="39"/>
    </row>
    <row r="110" spans="1:11" x14ac:dyDescent="0.25">
      <c r="A110" t="s">
        <v>334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222">
        <f t="shared" si="24"/>
        <v>-5.3769790013654589E-2</v>
      </c>
      <c r="I110" s="39"/>
      <c r="J110" s="39"/>
      <c r="K110" s="39"/>
    </row>
    <row r="111" spans="1:11" x14ac:dyDescent="0.25">
      <c r="A111" t="s">
        <v>430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222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222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222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222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222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222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222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222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222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222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392" priority="75">
      <formula>F32&gt;0</formula>
    </cfRule>
    <cfRule type="expression" dxfId="2391" priority="76">
      <formula>F32&lt;0</formula>
    </cfRule>
  </conditionalFormatting>
  <conditionalFormatting sqref="Q7">
    <cfRule type="expression" dxfId="2390" priority="73">
      <formula>Q7&gt;0</formula>
    </cfRule>
    <cfRule type="expression" dxfId="2389" priority="74">
      <formula>Q7&lt;0</formula>
    </cfRule>
  </conditionalFormatting>
  <conditionalFormatting sqref="Q8">
    <cfRule type="expression" dxfId="2388" priority="71">
      <formula>Q8&gt;0</formula>
    </cfRule>
    <cfRule type="expression" dxfId="2387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386" priority="63">
      <formula>M58&gt;0</formula>
    </cfRule>
    <cfRule type="expression" dxfId="2385" priority="64">
      <formula>M58&lt;0</formula>
    </cfRule>
  </conditionalFormatting>
  <conditionalFormatting sqref="Q10">
    <cfRule type="expression" dxfId="2384" priority="61">
      <formula>Q10&gt;0</formula>
    </cfRule>
    <cfRule type="expression" dxfId="2383" priority="62">
      <formula>Q10&lt;0</formula>
    </cfRule>
  </conditionalFormatting>
  <conditionalFormatting sqref="F29:F31">
    <cfRule type="expression" dxfId="2382" priority="59">
      <formula>F29&gt;0</formula>
    </cfRule>
    <cfRule type="expression" dxfId="2381" priority="60">
      <formula>F29&lt;0</formula>
    </cfRule>
  </conditionalFormatting>
  <conditionalFormatting sqref="H29:H31">
    <cfRule type="expression" dxfId="2380" priority="57">
      <formula>H29&gt;0</formula>
    </cfRule>
    <cfRule type="expression" dxfId="2379" priority="58">
      <formula>H29&lt;0</formula>
    </cfRule>
  </conditionalFormatting>
  <conditionalFormatting sqref="F83:F94">
    <cfRule type="expression" dxfId="2378" priority="55">
      <formula>F83&gt;0</formula>
    </cfRule>
    <cfRule type="expression" dxfId="2377" priority="56">
      <formula>F83&lt;0</formula>
    </cfRule>
  </conditionalFormatting>
  <conditionalFormatting sqref="H83:H94">
    <cfRule type="expression" dxfId="2376" priority="53">
      <formula>H83&gt;0</formula>
    </cfRule>
    <cfRule type="expression" dxfId="2375" priority="54">
      <formula>H83&lt;0</formula>
    </cfRule>
  </conditionalFormatting>
  <conditionalFormatting sqref="J41">
    <cfRule type="expression" dxfId="2374" priority="51">
      <formula>J41&gt;0</formula>
    </cfRule>
    <cfRule type="expression" dxfId="2373" priority="52">
      <formula>J41&lt;0</formula>
    </cfRule>
  </conditionalFormatting>
  <conditionalFormatting sqref="J39:J47">
    <cfRule type="expression" dxfId="2372" priority="49">
      <formula>J39&gt;0</formula>
    </cfRule>
    <cfRule type="expression" dxfId="2371" priority="50">
      <formula>J39&lt;0</formula>
    </cfRule>
  </conditionalFormatting>
  <conditionalFormatting sqref="F48:F51 H48:H51">
    <cfRule type="expression" dxfId="2370" priority="47">
      <formula>F48&gt;0</formula>
    </cfRule>
    <cfRule type="expression" dxfId="2369" priority="48">
      <formula>F48&lt;0</formula>
    </cfRule>
  </conditionalFormatting>
  <conditionalFormatting sqref="J48:J57">
    <cfRule type="expression" dxfId="2368" priority="45">
      <formula>J48&gt;0</formula>
    </cfRule>
    <cfRule type="expression" dxfId="2367" priority="46">
      <formula>J48&lt;0</formula>
    </cfRule>
  </conditionalFormatting>
  <conditionalFormatting sqref="K45:K52">
    <cfRule type="expression" dxfId="2366" priority="43">
      <formula>K45&gt;0</formula>
    </cfRule>
    <cfRule type="expression" dxfId="2365" priority="44">
      <formula>K45&lt;0</formula>
    </cfRule>
  </conditionalFormatting>
  <conditionalFormatting sqref="K45:K52">
    <cfRule type="expression" dxfId="2364" priority="41">
      <formula>K45&gt;0</formula>
    </cfRule>
    <cfRule type="expression" dxfId="2363" priority="42">
      <formula>K45&lt;0</formula>
    </cfRule>
  </conditionalFormatting>
  <conditionalFormatting sqref="F102:F118 H102:H118 H120:H128 F120:F128">
    <cfRule type="expression" dxfId="2362" priority="37">
      <formula>F102&gt;0</formula>
    </cfRule>
    <cfRule type="expression" dxfId="2361" priority="38">
      <formula>F102&lt;0</formula>
    </cfRule>
  </conditionalFormatting>
  <conditionalFormatting sqref="F96:F101">
    <cfRule type="expression" dxfId="2360" priority="35">
      <formula>F96&gt;0</formula>
    </cfRule>
    <cfRule type="expression" dxfId="2359" priority="36">
      <formula>F96&lt;0</formula>
    </cfRule>
  </conditionalFormatting>
  <conditionalFormatting sqref="H96:H101">
    <cfRule type="expression" dxfId="2358" priority="33">
      <formula>H96&gt;0</formula>
    </cfRule>
    <cfRule type="expression" dxfId="2357" priority="34">
      <formula>H96&lt;0</formula>
    </cfRule>
  </conditionalFormatting>
  <conditionalFormatting sqref="J112">
    <cfRule type="expression" dxfId="2356" priority="31">
      <formula>J112&gt;0</formula>
    </cfRule>
    <cfRule type="expression" dxfId="2355" priority="32">
      <formula>J112&lt;0</formula>
    </cfRule>
  </conditionalFormatting>
  <conditionalFormatting sqref="J110:J118 J120">
    <cfRule type="expression" dxfId="2354" priority="29">
      <formula>J110&gt;0</formula>
    </cfRule>
    <cfRule type="expression" dxfId="2353" priority="30">
      <formula>J110&lt;0</formula>
    </cfRule>
  </conditionalFormatting>
  <conditionalFormatting sqref="F119 H119">
    <cfRule type="expression" dxfId="2352" priority="27">
      <formula>F119&gt;0</formula>
    </cfRule>
    <cfRule type="expression" dxfId="2351" priority="28">
      <formula>F119&lt;0</formula>
    </cfRule>
  </conditionalFormatting>
  <conditionalFormatting sqref="J119">
    <cfRule type="expression" dxfId="2350" priority="25">
      <formula>J119&gt;0</formula>
    </cfRule>
    <cfRule type="expression" dxfId="2349" priority="26">
      <formula>J119&lt;0</formula>
    </cfRule>
  </conditionalFormatting>
  <conditionalFormatting sqref="K112:K123">
    <cfRule type="expression" dxfId="2348" priority="23">
      <formula>K112&gt;0</formula>
    </cfRule>
    <cfRule type="expression" dxfId="2347" priority="24">
      <formula>K112&lt;0</formula>
    </cfRule>
  </conditionalFormatting>
  <conditionalFormatting sqref="K110:K123">
    <cfRule type="expression" dxfId="2346" priority="21">
      <formula>K110&gt;0</formula>
    </cfRule>
    <cfRule type="expression" dxfId="2345" priority="22">
      <formula>K110&lt;0</formula>
    </cfRule>
  </conditionalFormatting>
  <conditionalFormatting sqref="J121">
    <cfRule type="expression" dxfId="2344" priority="19">
      <formula>J121&gt;0</formula>
    </cfRule>
    <cfRule type="expression" dxfId="2343" priority="20">
      <formula>J121&lt;0</formula>
    </cfRule>
  </conditionalFormatting>
  <conditionalFormatting sqref="F25:F28">
    <cfRule type="expression" dxfId="2342" priority="17">
      <formula>F25&gt;0</formula>
    </cfRule>
    <cfRule type="expression" dxfId="2341" priority="18">
      <formula>F25&lt;0</formula>
    </cfRule>
  </conditionalFormatting>
  <conditionalFormatting sqref="H25:H28">
    <cfRule type="expression" dxfId="2340" priority="15">
      <formula>H25&gt;0</formula>
    </cfRule>
    <cfRule type="expression" dxfId="2339" priority="16">
      <formula>H25&lt;0</formula>
    </cfRule>
  </conditionalFormatting>
  <conditionalFormatting sqref="J27:J29">
    <cfRule type="expression" dxfId="2338" priority="13">
      <formula>J27&gt;0</formula>
    </cfRule>
    <cfRule type="expression" dxfId="2337" priority="14">
      <formula>J27&lt;0</formula>
    </cfRule>
  </conditionalFormatting>
  <conditionalFormatting sqref="J30:J31">
    <cfRule type="expression" dxfId="2336" priority="11">
      <formula>J30&gt;0</formula>
    </cfRule>
    <cfRule type="expression" dxfId="2335" priority="12">
      <formula>J30&lt;0</formula>
    </cfRule>
  </conditionalFormatting>
  <conditionalFormatting sqref="J33">
    <cfRule type="expression" dxfId="2334" priority="9">
      <formula>J33&gt;0</formula>
    </cfRule>
    <cfRule type="expression" dxfId="2333" priority="10">
      <formula>J33&lt;0</formula>
    </cfRule>
  </conditionalFormatting>
  <conditionalFormatting sqref="J34">
    <cfRule type="expression" dxfId="2332" priority="7">
      <formula>J34&gt;0</formula>
    </cfRule>
    <cfRule type="expression" dxfId="2331" priority="8">
      <formula>J34&lt;0</formula>
    </cfRule>
  </conditionalFormatting>
  <conditionalFormatting sqref="J35:J43">
    <cfRule type="expression" dxfId="2330" priority="5">
      <formula>J35&gt;0</formula>
    </cfRule>
    <cfRule type="expression" dxfId="2329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328" priority="1">
      <formula>Q9&gt;0</formula>
    </cfRule>
    <cfRule type="expression" dxfId="2327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53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53</v>
      </c>
      <c r="R4" s="475">
        <v>-4.8999999999999998E-3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57" t="s">
        <v>78</v>
      </c>
      <c r="P40" s="857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58.300000000000004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57.77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57.24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56.71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56.18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55.650000000000006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55.120000000000005</v>
      </c>
      <c r="Q47" s="2"/>
    </row>
    <row r="48" spans="2:17" x14ac:dyDescent="0.25">
      <c r="O48" s="81">
        <v>1.03</v>
      </c>
      <c r="P48" s="81">
        <f t="shared" si="4"/>
        <v>54.59</v>
      </c>
      <c r="Q48" s="2"/>
    </row>
    <row r="49" spans="1:17" x14ac:dyDescent="0.25">
      <c r="O49" s="81">
        <v>1.02</v>
      </c>
      <c r="P49" s="81">
        <f t="shared" si="4"/>
        <v>54.06</v>
      </c>
      <c r="Q49" s="2"/>
    </row>
    <row r="50" spans="1:17" x14ac:dyDescent="0.25">
      <c r="O50" s="81">
        <v>1.01</v>
      </c>
      <c r="P50" s="81">
        <f t="shared" si="4"/>
        <v>53.53</v>
      </c>
      <c r="Q50" s="2"/>
    </row>
    <row r="51" spans="1:17" x14ac:dyDescent="0.25">
      <c r="O51" s="81">
        <v>1</v>
      </c>
      <c r="P51" s="81">
        <f t="shared" si="4"/>
        <v>53</v>
      </c>
      <c r="Q51" s="2"/>
    </row>
    <row r="52" spans="1:17" x14ac:dyDescent="0.25">
      <c r="O52" s="81">
        <v>0.99</v>
      </c>
      <c r="P52" s="81">
        <f t="shared" si="4"/>
        <v>52.47</v>
      </c>
      <c r="Q52" s="2"/>
    </row>
    <row r="53" spans="1:17" x14ac:dyDescent="0.25">
      <c r="O53" s="81">
        <v>0.98</v>
      </c>
      <c r="P53" s="81">
        <f t="shared" si="4"/>
        <v>51.94</v>
      </c>
      <c r="Q53" s="2"/>
    </row>
    <row r="54" spans="1:17" x14ac:dyDescent="0.25">
      <c r="O54" s="81">
        <v>0.97</v>
      </c>
      <c r="P54" s="81">
        <f t="shared" si="4"/>
        <v>51.41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50.879999999999995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50.349999999999994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49.82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49.29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48.760000000000005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48.230000000000004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47.7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326" priority="15">
      <formula>F39&gt;0</formula>
    </cfRule>
    <cfRule type="expression" dxfId="2325" priority="16">
      <formula>F39&lt;0</formula>
    </cfRule>
  </conditionalFormatting>
  <conditionalFormatting sqref="Q7">
    <cfRule type="expression" dxfId="2324" priority="13">
      <formula>Q7&gt;0</formula>
    </cfRule>
    <cfRule type="expression" dxfId="2323" priority="14">
      <formula>Q7&lt;0</formula>
    </cfRule>
  </conditionalFormatting>
  <conditionalFormatting sqref="Q8">
    <cfRule type="expression" dxfId="2322" priority="11">
      <formula>Q8&gt;0</formula>
    </cfRule>
    <cfRule type="expression" dxfId="2321" priority="12">
      <formula>Q8&lt;0</formula>
    </cfRule>
  </conditionalFormatting>
  <conditionalFormatting sqref="F25:F38">
    <cfRule type="expression" dxfId="2320" priority="9">
      <formula>F25&gt;0</formula>
    </cfRule>
    <cfRule type="expression" dxfId="2319" priority="10">
      <formula>F25&lt;0</formula>
    </cfRule>
  </conditionalFormatting>
  <conditionalFormatting sqref="H25:H38">
    <cfRule type="expression" dxfId="2318" priority="7">
      <formula>H25&gt;0</formula>
    </cfRule>
    <cfRule type="expression" dxfId="2317" priority="8">
      <formula>H25&lt;0</formula>
    </cfRule>
  </conditionalFormatting>
  <conditionalFormatting sqref="M55">
    <cfRule type="expression" dxfId="2316" priority="3">
      <formula>M55&gt;0</formula>
    </cfRule>
    <cfRule type="expression" dxfId="2315" priority="4">
      <formula>M55&lt;0</formula>
    </cfRule>
  </conditionalFormatting>
  <conditionalFormatting sqref="Q10">
    <cfRule type="expression" dxfId="2314" priority="1">
      <formula>Q10&gt;0</formula>
    </cfRule>
    <cfRule type="expression" dxfId="2313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5">
        <f>AC2/AC3-1</f>
        <v>-5.3064473335101559E-3</v>
      </c>
    </row>
    <row r="3" spans="1:3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41.72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5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41.72</v>
      </c>
      <c r="R4" s="475">
        <v>2.18E-2</v>
      </c>
      <c r="T4" s="156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5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5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5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5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5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207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5">
        <f t="shared" si="1"/>
        <v>2.3879013000795979E-3</v>
      </c>
    </row>
    <row r="10" spans="1:31" x14ac:dyDescent="0.25">
      <c r="O10" s="11" t="s">
        <v>206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5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5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5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5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5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5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5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5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5">
        <f t="shared" si="1"/>
        <v>-8.3916083916083517E-3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5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5">
        <f t="shared" si="1"/>
        <v>9.0497737556560764E-3</v>
      </c>
    </row>
    <row r="21" spans="1:31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5">
        <f t="shared" si="1"/>
        <v>-3.3821871476887866E-3</v>
      </c>
    </row>
    <row r="22" spans="1:31" x14ac:dyDescent="0.25">
      <c r="A22" t="s">
        <v>342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5">
        <f t="shared" si="1"/>
        <v>2.543091268719877E-3</v>
      </c>
    </row>
    <row r="23" spans="1:31" x14ac:dyDescent="0.25">
      <c r="B23" s="184"/>
      <c r="C23" s="10"/>
      <c r="D23" s="193"/>
      <c r="E23" s="39"/>
      <c r="F23" s="227"/>
      <c r="G23" s="39"/>
      <c r="H23" s="223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5">
        <f t="shared" si="1"/>
        <v>1.287922152261034E-2</v>
      </c>
    </row>
    <row r="24" spans="1:31" x14ac:dyDescent="0.25">
      <c r="B24" s="184"/>
      <c r="C24" s="10"/>
      <c r="D24" s="193"/>
      <c r="E24" s="39"/>
      <c r="F24" s="227"/>
      <c r="G24" s="39"/>
      <c r="H24" s="223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5">
        <f t="shared" si="1"/>
        <v>-5.4084827782523437E-3</v>
      </c>
    </row>
    <row r="25" spans="1:31" x14ac:dyDescent="0.25">
      <c r="B25" s="184"/>
      <c r="C25" s="10"/>
      <c r="D25" s="193"/>
      <c r="E25" s="39"/>
      <c r="F25" s="227"/>
      <c r="G25" s="39"/>
      <c r="H25" s="223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5">
        <f t="shared" si="1"/>
        <v>1.5317919075144459E-2</v>
      </c>
    </row>
    <row r="26" spans="1:31" x14ac:dyDescent="0.25">
      <c r="B26" s="184"/>
      <c r="C26" s="10"/>
      <c r="D26" s="193"/>
      <c r="E26" s="39"/>
      <c r="F26" s="227"/>
      <c r="G26" s="39"/>
      <c r="H26" s="223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5">
        <f t="shared" si="1"/>
        <v>3.1893302406493795E-3</v>
      </c>
    </row>
    <row r="27" spans="1:31" x14ac:dyDescent="0.25">
      <c r="B27" s="184"/>
      <c r="C27" s="10"/>
      <c r="D27" s="193"/>
      <c r="E27" s="39"/>
      <c r="F27" s="227"/>
      <c r="G27" s="39"/>
      <c r="H27" s="223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5">
        <f t="shared" si="1"/>
        <v>-5.7653502450272232E-3</v>
      </c>
    </row>
    <row r="28" spans="1:31" x14ac:dyDescent="0.25">
      <c r="B28" s="184"/>
      <c r="C28" s="10"/>
      <c r="D28" s="193"/>
      <c r="E28" s="39"/>
      <c r="F28" s="227"/>
      <c r="G28" s="39"/>
      <c r="H28" s="223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5">
        <f t="shared" si="1"/>
        <v>-8.8571428571428967E-3</v>
      </c>
    </row>
    <row r="29" spans="1:31" x14ac:dyDescent="0.25">
      <c r="B29" s="184"/>
      <c r="C29" s="10"/>
      <c r="D29" s="193"/>
      <c r="E29" s="39"/>
      <c r="F29" s="227"/>
      <c r="G29" s="39"/>
      <c r="H29" s="223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5">
        <f t="shared" si="1"/>
        <v>1.4306151645206988E-3</v>
      </c>
    </row>
    <row r="30" spans="1:31" x14ac:dyDescent="0.25">
      <c r="B30" s="184"/>
      <c r="C30" s="10"/>
      <c r="D30" s="193"/>
      <c r="E30" s="39"/>
      <c r="F30" s="227"/>
      <c r="G30" s="39"/>
      <c r="H30" s="223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5">
        <f t="shared" si="1"/>
        <v>-1.8258426966292096E-2</v>
      </c>
    </row>
    <row r="31" spans="1:31" x14ac:dyDescent="0.25">
      <c r="B31" s="184"/>
      <c r="C31" s="10"/>
      <c r="D31" s="193"/>
      <c r="E31" s="39"/>
      <c r="F31" s="227"/>
      <c r="G31" s="39"/>
      <c r="H31" s="223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5">
        <f t="shared" si="1"/>
        <v>2.8097780275349038E-4</v>
      </c>
    </row>
    <row r="32" spans="1:31" x14ac:dyDescent="0.25">
      <c r="B32" s="184"/>
      <c r="C32" s="10"/>
      <c r="D32" s="193"/>
      <c r="E32" s="39"/>
      <c r="F32" s="227"/>
      <c r="G32" s="39"/>
      <c r="H32" s="223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5">
        <f t="shared" si="1"/>
        <v>5.6513139304890103E-3</v>
      </c>
    </row>
    <row r="33" spans="1:31" x14ac:dyDescent="0.25">
      <c r="B33" s="184"/>
      <c r="C33" s="10"/>
      <c r="D33" s="193"/>
      <c r="E33" s="39"/>
      <c r="F33" s="227"/>
      <c r="G33" s="39"/>
      <c r="H33" s="223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5">
        <f t="shared" si="1"/>
        <v>-2.8248587570611772E-4</v>
      </c>
    </row>
    <row r="34" spans="1:31" x14ac:dyDescent="0.25">
      <c r="B34" s="184"/>
      <c r="C34" s="10"/>
      <c r="D34" s="193"/>
      <c r="E34" s="39"/>
      <c r="F34" s="227"/>
      <c r="G34" s="39"/>
      <c r="H34" s="223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5">
        <f t="shared" si="1"/>
        <v>-1.4104372355431272E-3</v>
      </c>
    </row>
    <row r="35" spans="1:31" x14ac:dyDescent="0.25">
      <c r="B35" s="184"/>
      <c r="C35" s="10"/>
      <c r="D35" s="193"/>
      <c r="E35" s="39"/>
      <c r="F35" s="227"/>
      <c r="G35" s="39"/>
      <c r="H35" s="223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5">
        <f t="shared" si="1"/>
        <v>-2.8200789622101485E-4</v>
      </c>
    </row>
    <row r="36" spans="1:31" x14ac:dyDescent="0.25">
      <c r="B36" s="184"/>
      <c r="C36" s="10"/>
      <c r="D36" s="193"/>
      <c r="E36" s="39"/>
      <c r="F36" s="227"/>
      <c r="G36" s="39"/>
      <c r="H36" s="223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5">
        <f t="shared" si="1"/>
        <v>1.0544314619549633E-2</v>
      </c>
    </row>
    <row r="37" spans="1:31" x14ac:dyDescent="0.25">
      <c r="B37" s="72"/>
      <c r="C37" s="4"/>
      <c r="D37" s="554"/>
      <c r="E37" s="3"/>
      <c r="F37" s="3"/>
      <c r="G37" s="3"/>
      <c r="H37" s="224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5">
        <f t="shared" si="1"/>
        <v>-3.1249999999999334E-3</v>
      </c>
    </row>
    <row r="38" spans="1:31" x14ac:dyDescent="0.25">
      <c r="B38" s="72"/>
      <c r="C38" s="4"/>
      <c r="D38" s="554"/>
      <c r="E38" s="3"/>
      <c r="F38" s="3"/>
      <c r="G38" s="3"/>
      <c r="H38" s="224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5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5">
        <f t="shared" si="1"/>
        <v>-3.6973833902160802E-3</v>
      </c>
    </row>
    <row r="40" spans="1:31" ht="20.25" thickBot="1" x14ac:dyDescent="0.35">
      <c r="O40" s="857" t="s">
        <v>78</v>
      </c>
      <c r="P40" s="857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5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45.892000000000003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5">
        <f t="shared" si="1"/>
        <v>9.0574582507783052E-3</v>
      </c>
    </row>
    <row r="42" spans="1:3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2">O42*$Q$4</f>
        <v>45.474800000000002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5">
        <f t="shared" si="1"/>
        <v>5.9794988610477606E-3</v>
      </c>
    </row>
    <row r="43" spans="1:31" ht="15.75" thickTop="1" x14ac:dyDescent="0.25">
      <c r="A43" s="371" t="s">
        <v>311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2"/>
        <v>45.057600000000001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5">
        <f t="shared" si="1"/>
        <v>8.3261556129772263E-3</v>
      </c>
    </row>
    <row r="44" spans="1:3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2"/>
        <v>44.6404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5">
        <f t="shared" si="1"/>
        <v>-3.4334763948499214E-3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2"/>
        <v>44.223199999999999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5">
        <f t="shared" si="1"/>
        <v>6.044905008635526E-3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2"/>
        <v>43.805999999999997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5">
        <f t="shared" si="1"/>
        <v>6.0816681146829144E-3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2"/>
        <v>43.388800000000003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5">
        <f t="shared" si="1"/>
        <v>1.1719894520949348E-2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2"/>
        <v>42.971600000000002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5">
        <f t="shared" si="1"/>
        <v>-5.8258083309057351E-3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2"/>
        <v>42.554400000000001</v>
      </c>
      <c r="Q49" s="2"/>
      <c r="T49" s="91" t="s">
        <v>103</v>
      </c>
      <c r="U49" s="127" t="s">
        <v>572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5">
        <f t="shared" si="1"/>
        <v>-2.9044437990125571E-3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2"/>
        <v>42.1372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5">
        <f t="shared" si="1"/>
        <v>-1.0916403332375868E-2</v>
      </c>
    </row>
    <row r="51" spans="1:3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2"/>
        <v>41.72</v>
      </c>
      <c r="Q51" s="2"/>
      <c r="T51" s="91" t="s">
        <v>104</v>
      </c>
      <c r="U51" s="127" t="s">
        <v>573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5">
        <f t="shared" si="1"/>
        <v>7.5253256150507042E-3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2"/>
        <v>41.302799999999998</v>
      </c>
      <c r="Q52" s="2"/>
      <c r="T52" s="91" t="s">
        <v>105</v>
      </c>
      <c r="U52" s="127" t="s">
        <v>312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5">
        <f t="shared" si="1"/>
        <v>8.7591240875910525E-3</v>
      </c>
    </row>
    <row r="53" spans="1:3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2"/>
        <v>40.885599999999997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5">
        <f t="shared" si="1"/>
        <v>6.4648839259475732E-3</v>
      </c>
    </row>
    <row r="54" spans="1:3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2"/>
        <v>40.468399999999995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5">
        <f t="shared" si="1"/>
        <v>5.0206733608979537E-3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2"/>
        <v>40.051199999999994</v>
      </c>
      <c r="T55" s="91" t="s">
        <v>107</v>
      </c>
      <c r="U55" s="127" t="s">
        <v>574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5">
        <f t="shared" si="1"/>
        <v>2.668283808368721E-2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2"/>
        <v>39.634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5">
        <f t="shared" si="1"/>
        <v>2.3905619372865505E-2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2"/>
        <v>39.216799999999999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5">
        <f t="shared" si="1"/>
        <v>1.8662519440124647E-3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38.799599999999998</v>
      </c>
      <c r="T58" s="91" t="s">
        <v>108</v>
      </c>
      <c r="U58" s="127" t="s">
        <v>502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5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38.382400000000004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5">
        <f t="shared" si="1"/>
        <v>-7.9999999999998961E-3</v>
      </c>
    </row>
    <row r="60" spans="1:3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2"/>
        <v>37.965200000000003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5">
        <f t="shared" si="1"/>
        <v>3.1746031746031855E-2</v>
      </c>
    </row>
    <row r="61" spans="1:31" x14ac:dyDescent="0.25">
      <c r="O61" s="81">
        <v>0.9</v>
      </c>
      <c r="P61" s="81">
        <f t="shared" si="2"/>
        <v>37.548000000000002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5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5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5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5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5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5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5" t="e">
        <f>AC67/#REF!-1</f>
        <v>#REF!</v>
      </c>
    </row>
    <row r="68" spans="1:3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5" t="e">
        <f>#REF!/AC68-1</f>
        <v>#REF!</v>
      </c>
    </row>
    <row r="69" spans="1:3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  <c r="AD69" s="39">
        <f>Y68-Z68</f>
        <v>0</v>
      </c>
      <c r="AE69" s="155" t="e">
        <f>AC68/AC69-1</f>
        <v>#DIV/0!</v>
      </c>
    </row>
    <row r="70" spans="1:3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3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312" priority="27">
      <formula>F27&gt;0</formula>
    </cfRule>
    <cfRule type="expression" dxfId="2311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2310" priority="15">
      <formula>Q8&gt;0</formula>
    </cfRule>
    <cfRule type="expression" dxfId="2309" priority="16">
      <formula>Q8&lt;0</formula>
    </cfRule>
  </conditionalFormatting>
  <conditionalFormatting sqref="Q7">
    <cfRule type="expression" dxfId="2308" priority="17">
      <formula>Q7&gt;0</formula>
    </cfRule>
    <cfRule type="expression" dxfId="2307" priority="18">
      <formula>Q7&lt;0</formula>
    </cfRule>
  </conditionalFormatting>
  <conditionalFormatting sqref="F37:F38">
    <cfRule type="expression" dxfId="2306" priority="13">
      <formula>F37&gt;0</formula>
    </cfRule>
    <cfRule type="expression" dxfId="2305" priority="14">
      <formula>F37&lt;0</formula>
    </cfRule>
  </conditionalFormatting>
  <conditionalFormatting sqref="H37:H38">
    <cfRule type="expression" dxfId="2304" priority="11">
      <formula>H37&gt;0</formula>
    </cfRule>
    <cfRule type="expression" dxfId="2303" priority="12">
      <formula>H37&lt;0</formula>
    </cfRule>
  </conditionalFormatting>
  <conditionalFormatting sqref="F23:F26 H23:H26">
    <cfRule type="expression" dxfId="2302" priority="9">
      <formula>F23&gt;0</formula>
    </cfRule>
    <cfRule type="expression" dxfId="2301" priority="10">
      <formula>F23&lt;0</formula>
    </cfRule>
  </conditionalFormatting>
  <conditionalFormatting sqref="Q10">
    <cfRule type="expression" dxfId="2300" priority="3">
      <formula>Q10&gt;0</formula>
    </cfRule>
    <cfRule type="expression" dxfId="2299" priority="4">
      <formula>Q10&lt;0</formula>
    </cfRule>
  </conditionalFormatting>
  <conditionalFormatting sqref="F22 H22">
    <cfRule type="expression" dxfId="2298" priority="1">
      <formula>F22&gt;0</formula>
    </cfRule>
    <cfRule type="expression" dxfId="2297" priority="2">
      <formula>F22&lt;0</formula>
    </cfRule>
  </conditionalFormatting>
  <conditionalFormatting sqref="M41">
    <cfRule type="expression" dxfId="2296" priority="5">
      <formula>M41&gt;0</formula>
    </cfRule>
    <cfRule type="expression" dxfId="2295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56.18</v>
      </c>
      <c r="T3" s="1"/>
      <c r="W3" s="130">
        <v>42830</v>
      </c>
      <c r="X3" s="10" t="s">
        <v>324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56.18</v>
      </c>
      <c r="R4" s="475">
        <v>-4.7999999999999996E-3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207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206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7" t="s">
        <v>78</v>
      </c>
      <c r="P40" s="857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61.798000000000002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61.236200000000004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60.674400000000006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60.1126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59.550800000000002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58.989000000000004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58.427199999999999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296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57.865400000000001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57.303600000000003</v>
      </c>
      <c r="Q49" s="2"/>
      <c r="T49" s="91" t="s">
        <v>103</v>
      </c>
      <c r="U49" s="127" t="s">
        <v>474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56.741799999999998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56.18</v>
      </c>
      <c r="Q51" s="2"/>
      <c r="T51" s="91" t="s">
        <v>104</v>
      </c>
      <c r="U51" s="127" t="s">
        <v>575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55.618200000000002</v>
      </c>
      <c r="Q52" s="2"/>
      <c r="T52" s="91" t="s">
        <v>105</v>
      </c>
      <c r="U52" s="127" t="s">
        <v>361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55.056399999999996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54.494599999999998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53.9328</v>
      </c>
      <c r="T55" s="91" t="s">
        <v>107</v>
      </c>
      <c r="U55" s="127" t="s">
        <v>576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53.370999999999995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52.809199999999997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52.247399999999999</v>
      </c>
      <c r="T58" s="91" t="s">
        <v>108</v>
      </c>
      <c r="U58" s="127" t="s">
        <v>534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51.685600000000001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51.123800000000003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50.561999999999998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324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331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341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358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358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381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416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432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449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294" priority="29">
      <formula>F25&gt;0</formula>
    </cfRule>
    <cfRule type="expression" dxfId="2293" priority="30">
      <formula>F25&lt;0</formula>
    </cfRule>
  </conditionalFormatting>
  <conditionalFormatting sqref="Q7">
    <cfRule type="expression" dxfId="2292" priority="27">
      <formula>Q7&gt;0</formula>
    </cfRule>
    <cfRule type="expression" dxfId="2291" priority="28">
      <formula>Q7&lt;0</formula>
    </cfRule>
  </conditionalFormatting>
  <conditionalFormatting sqref="Q8">
    <cfRule type="expression" dxfId="2290" priority="25">
      <formula>Q8&gt;0</formula>
    </cfRule>
    <cfRule type="expression" dxfId="2289" priority="26">
      <formula>Q8&lt;0</formula>
    </cfRule>
  </conditionalFormatting>
  <conditionalFormatting sqref="Q10">
    <cfRule type="expression" dxfId="2288" priority="13">
      <formula>Q10&gt;0</formula>
    </cfRule>
    <cfRule type="expression" dxfId="2287" priority="14">
      <formula>Q10&lt;0</formula>
    </cfRule>
  </conditionalFormatting>
  <conditionalFormatting sqref="M46">
    <cfRule type="expression" dxfId="2286" priority="11">
      <formula>M46&gt;0</formula>
    </cfRule>
    <cfRule type="expression" dxfId="2285" priority="12">
      <formula>M46&lt;0</formula>
    </cfRule>
  </conditionalFormatting>
  <conditionalFormatting sqref="F80:F88 H80:H88">
    <cfRule type="expression" dxfId="2284" priority="9">
      <formula>F80&gt;0</formula>
    </cfRule>
    <cfRule type="expression" dxfId="2283" priority="10">
      <formula>F80&lt;0</formula>
    </cfRule>
  </conditionalFormatting>
  <conditionalFormatting sqref="F75:F79">
    <cfRule type="expression" dxfId="2282" priority="7">
      <formula>F75&gt;0</formula>
    </cfRule>
    <cfRule type="expression" dxfId="2281" priority="8">
      <formula>F75&lt;0</formula>
    </cfRule>
  </conditionalFormatting>
  <conditionalFormatting sqref="H75:H79">
    <cfRule type="expression" dxfId="2280" priority="5">
      <formula>H75&gt;0</formula>
    </cfRule>
    <cfRule type="expression" dxfId="2279" priority="6">
      <formula>H75&lt;0</formula>
    </cfRule>
  </conditionalFormatting>
  <conditionalFormatting sqref="F71:F74">
    <cfRule type="expression" dxfId="2278" priority="3">
      <formula>F71&gt;0</formula>
    </cfRule>
    <cfRule type="expression" dxfId="2277" priority="4">
      <formula>F71&lt;0</formula>
    </cfRule>
  </conditionalFormatting>
  <conditionalFormatting sqref="H71:H74">
    <cfRule type="expression" dxfId="2276" priority="1">
      <formula>H71&gt;0</formula>
    </cfRule>
    <cfRule type="expression" dxfId="2275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686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31.01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31.01</v>
      </c>
      <c r="R4" s="495">
        <v>1.41E-2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206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662</v>
      </c>
      <c r="L24" s="220" t="s">
        <v>668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222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7" t="s">
        <v>78</v>
      </c>
      <c r="P40" s="85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34.111000000000004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33.800900000000006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33.490800000000007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33.180700000000002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32.870600000000003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32.560500000000005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32.250400000000006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31.940300000000004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31.630200000000002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31.320100000000004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31.01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30.6999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30.389800000000001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30.079699999999999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29.769600000000001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29.459499999999998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29.1494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28.839300000000001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28.529200000000003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28.219100000000001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27.909000000000002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686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274" priority="21">
      <formula>F47&gt;0</formula>
    </cfRule>
    <cfRule type="expression" dxfId="2273" priority="22">
      <formula>F47&lt;0</formula>
    </cfRule>
  </conditionalFormatting>
  <conditionalFormatting sqref="Q7">
    <cfRule type="expression" dxfId="2272" priority="19">
      <formula>Q7&gt;0</formula>
    </cfRule>
    <cfRule type="expression" dxfId="2271" priority="20">
      <formula>Q7&lt;0</formula>
    </cfRule>
  </conditionalFormatting>
  <conditionalFormatting sqref="Q8">
    <cfRule type="expression" dxfId="2270" priority="17">
      <formula>Q8&gt;0</formula>
    </cfRule>
    <cfRule type="expression" dxfId="2269" priority="18">
      <formula>Q8&lt;0</formula>
    </cfRule>
  </conditionalFormatting>
  <conditionalFormatting sqref="F25:F46">
    <cfRule type="expression" dxfId="2268" priority="15">
      <formula>F25&gt;0</formula>
    </cfRule>
    <cfRule type="expression" dxfId="2267" priority="16">
      <formula>F25&lt;0</formula>
    </cfRule>
  </conditionalFormatting>
  <conditionalFormatting sqref="H25:H46">
    <cfRule type="expression" dxfId="2266" priority="13">
      <formula>H25&gt;0</formula>
    </cfRule>
    <cfRule type="expression" dxfId="2265" priority="14">
      <formula>H25&lt;0</formula>
    </cfRule>
  </conditionalFormatting>
  <conditionalFormatting sqref="F89:F110">
    <cfRule type="expression" dxfId="2264" priority="11">
      <formula>F89&gt;0</formula>
    </cfRule>
    <cfRule type="expression" dxfId="2263" priority="12">
      <formula>F89&lt;0</formula>
    </cfRule>
  </conditionalFormatting>
  <conditionalFormatting sqref="H89:H110">
    <cfRule type="expression" dxfId="2262" priority="9">
      <formula>H89&gt;0</formula>
    </cfRule>
    <cfRule type="expression" dxfId="2261" priority="10">
      <formula>H89&lt;0</formula>
    </cfRule>
  </conditionalFormatting>
  <conditionalFormatting sqref="Q10">
    <cfRule type="expression" dxfId="2260" priority="7">
      <formula>Q10&gt;0</formula>
    </cfRule>
    <cfRule type="expression" dxfId="2259" priority="8">
      <formula>Q10&lt;0</formula>
    </cfRule>
  </conditionalFormatting>
  <conditionalFormatting sqref="J25:J38">
    <cfRule type="expression" dxfId="2258" priority="5">
      <formula>J25&gt;0</formula>
    </cfRule>
    <cfRule type="expression" dxfId="2257" priority="6">
      <formula>J25&lt;0</formula>
    </cfRule>
  </conditionalFormatting>
  <conditionalFormatting sqref="K25:K38">
    <cfRule type="expression" dxfId="2256" priority="3">
      <formula>K25&gt;0</formula>
    </cfRule>
    <cfRule type="expression" dxfId="2255" priority="4">
      <formula>K25&lt;0</formula>
    </cfRule>
  </conditionalFormatting>
  <conditionalFormatting sqref="L25:L38">
    <cfRule type="expression" dxfId="2254" priority="1">
      <formula>L25&gt;0</formula>
    </cfRule>
    <cfRule type="expression" dxfId="225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75.83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75.83</v>
      </c>
      <c r="R4" s="475">
        <v>-5.1999999999999998E-3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207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206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7" t="s">
        <v>78</v>
      </c>
      <c r="P40" s="85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83.413000000000011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82.654700000000005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81.8964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81.138100000000009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80.379800000000003</v>
      </c>
      <c r="Q45" s="2"/>
      <c r="T45" s="91" t="s">
        <v>99</v>
      </c>
      <c r="U45" s="127" t="s">
        <v>577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79.621499999999997</v>
      </c>
      <c r="Q46" s="2"/>
      <c r="T46" s="91" t="s">
        <v>100</v>
      </c>
      <c r="U46" s="127" t="s">
        <v>578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78.863200000000006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245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78.104900000000001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77.346599999999995</v>
      </c>
      <c r="Q49" s="2"/>
      <c r="T49" s="91" t="s">
        <v>121</v>
      </c>
      <c r="U49" s="127" t="s">
        <v>383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76.588300000000004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75.83</v>
      </c>
      <c r="Q51" s="2"/>
      <c r="T51" s="91" t="s">
        <v>104</v>
      </c>
      <c r="U51" s="127" t="s">
        <v>579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75.071699999999993</v>
      </c>
      <c r="Q52" s="2"/>
      <c r="T52" s="91" t="s">
        <v>105</v>
      </c>
      <c r="U52" s="127" t="s">
        <v>413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74.313400000000001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73.555099999999996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72.79679999999999</v>
      </c>
      <c r="T55" s="91" t="s">
        <v>107</v>
      </c>
      <c r="U55" s="127" t="s">
        <v>580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72.038499999999999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71.280199999999994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70.521900000000002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69.763599999999997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69.005300000000005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68.247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246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249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252" priority="23">
      <formula>F34&gt;0</formula>
    </cfRule>
    <cfRule type="expression" dxfId="2251" priority="24">
      <formula>F34&lt;0</formula>
    </cfRule>
  </conditionalFormatting>
  <conditionalFormatting sqref="Q7">
    <cfRule type="expression" dxfId="2250" priority="21">
      <formula>Q7&gt;0</formula>
    </cfRule>
    <cfRule type="expression" dxfId="2249" priority="22">
      <formula>Q7&lt;0</formula>
    </cfRule>
  </conditionalFormatting>
  <conditionalFormatting sqref="Q8">
    <cfRule type="expression" dxfId="2248" priority="19">
      <formula>Q8&gt;0</formula>
    </cfRule>
    <cfRule type="expression" dxfId="2247" priority="20">
      <formula>Q8&lt;0</formula>
    </cfRule>
  </conditionalFormatting>
  <conditionalFormatting sqref="F25:F33">
    <cfRule type="expression" dxfId="2246" priority="17">
      <formula>F25&gt;0</formula>
    </cfRule>
    <cfRule type="expression" dxfId="2245" priority="18">
      <formula>F25&lt;0</formula>
    </cfRule>
  </conditionalFormatting>
  <conditionalFormatting sqref="H25:H33">
    <cfRule type="expression" dxfId="2244" priority="15">
      <formula>H25&gt;0</formula>
    </cfRule>
    <cfRule type="expression" dxfId="2243" priority="16">
      <formula>H25&lt;0</formula>
    </cfRule>
  </conditionalFormatting>
  <conditionalFormatting sqref="M46">
    <cfRule type="expression" dxfId="2242" priority="13">
      <formula>M46&gt;0</formula>
    </cfRule>
    <cfRule type="expression" dxfId="2241" priority="14">
      <formula>M46&lt;0</formula>
    </cfRule>
  </conditionalFormatting>
  <conditionalFormatting sqref="F79:F87 H79:H87">
    <cfRule type="expression" dxfId="2240" priority="11">
      <formula>F79&gt;0</formula>
    </cfRule>
    <cfRule type="expression" dxfId="2239" priority="12">
      <formula>F79&lt;0</formula>
    </cfRule>
  </conditionalFormatting>
  <conditionalFormatting sqref="F70:F78">
    <cfRule type="expression" dxfId="2238" priority="9">
      <formula>F70&gt;0</formula>
    </cfRule>
    <cfRule type="expression" dxfId="2237" priority="10">
      <formula>F70&lt;0</formula>
    </cfRule>
  </conditionalFormatting>
  <conditionalFormatting sqref="H70:H78">
    <cfRule type="expression" dxfId="2236" priority="7">
      <formula>H70&gt;0</formula>
    </cfRule>
    <cfRule type="expression" dxfId="2235" priority="8">
      <formula>H70&lt;0</formula>
    </cfRule>
  </conditionalFormatting>
  <conditionalFormatting sqref="J27:K27 J30:K30 J33:K33 J36:K36 J39:K39 J42:K42">
    <cfRule type="expression" dxfId="2234" priority="5">
      <formula>J27&gt;0</formula>
    </cfRule>
    <cfRule type="expression" dxfId="2233" priority="6">
      <formula>J27&lt;0</formula>
    </cfRule>
  </conditionalFormatting>
  <conditionalFormatting sqref="J28:K29 J31:K32 J34:K35 J37:K38 J40:K41">
    <cfRule type="expression" dxfId="2232" priority="3">
      <formula>J28&gt;0</formula>
    </cfRule>
    <cfRule type="expression" dxfId="2231" priority="4">
      <formula>J28&lt;0</formula>
    </cfRule>
  </conditionalFormatting>
  <conditionalFormatting sqref="L27:L42">
    <cfRule type="expression" dxfId="2230" priority="1">
      <formula>L27&gt;0</formula>
    </cfRule>
    <cfRule type="expression" dxfId="2229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P53" sqref="P5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665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17.739999999999998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17.739999999999998</v>
      </c>
      <c r="R4" s="475">
        <v>-2.8E-3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</row>
    <row r="10" spans="1:21" x14ac:dyDescent="0.25">
      <c r="H10" s="70"/>
      <c r="O10" s="11" t="s">
        <v>206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222">
        <f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7" t="s">
        <v>78</v>
      </c>
      <c r="P40" s="857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19.513999999999999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19.336600000000001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19.159199999999998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18.9818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18.804399999999998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18.626999999999999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18.4496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18.272199999999998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18.094799999999999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17.917399999999997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17.739999999999998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17.5626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17.385199999999998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17.207799999999999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17.030399999999997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16.852999999999998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16.675599999999999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16.498200000000001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16.320799999999998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16.1434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15.965999999999999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665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228" priority="9">
      <formula>F57&gt;0</formula>
    </cfRule>
    <cfRule type="expression" dxfId="2227" priority="10">
      <formula>F57&lt;0</formula>
    </cfRule>
  </conditionalFormatting>
  <conditionalFormatting sqref="Q7">
    <cfRule type="expression" dxfId="2226" priority="7">
      <formula>Q7&gt;0</formula>
    </cfRule>
    <cfRule type="expression" dxfId="2225" priority="8">
      <formula>Q7&lt;0</formula>
    </cfRule>
  </conditionalFormatting>
  <conditionalFormatting sqref="Q8">
    <cfRule type="expression" dxfId="2224" priority="5">
      <formula>Q8&gt;0</formula>
    </cfRule>
    <cfRule type="expression" dxfId="2223" priority="6">
      <formula>Q8&lt;0</formula>
    </cfRule>
  </conditionalFormatting>
  <conditionalFormatting sqref="F25:F56">
    <cfRule type="expression" dxfId="2222" priority="3">
      <formula>F25&gt;0</formula>
    </cfRule>
    <cfRule type="expression" dxfId="2221" priority="4">
      <formula>F25&lt;0</formula>
    </cfRule>
  </conditionalFormatting>
  <conditionalFormatting sqref="H25:H56">
    <cfRule type="expression" dxfId="2220" priority="1">
      <formula>H25&gt;0</formula>
    </cfRule>
    <cfRule type="expression" dxfId="2219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1138</v>
      </c>
      <c r="B2" s="474">
        <v>43278</v>
      </c>
      <c r="C2" s="4">
        <v>100</v>
      </c>
      <c r="D2" s="3">
        <v>51.18</v>
      </c>
      <c r="E2" s="3">
        <v>0</v>
      </c>
      <c r="F2" s="3">
        <f>C2*D2+E2</f>
        <v>5118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51.18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53.989899999999999</v>
      </c>
      <c r="R4" s="495">
        <v>2.8E-3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5398.99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5118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280.98999999999978</v>
      </c>
      <c r="R7" s="29">
        <v>43311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280.98999999999978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5.4902305588120315E-2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3.2598689754935649E-2</v>
      </c>
      <c r="R11">
        <v>1.76</v>
      </c>
    </row>
    <row r="12" spans="1:21" x14ac:dyDescent="0.25">
      <c r="H12" s="70"/>
      <c r="O12" s="11" t="s">
        <v>987</v>
      </c>
      <c r="Q12" s="29"/>
    </row>
    <row r="13" spans="1:21" x14ac:dyDescent="0.25">
      <c r="H13" s="70"/>
      <c r="O13" s="11" t="s">
        <v>965</v>
      </c>
      <c r="Q13">
        <f>Q4/8.62</f>
        <v>6.2633294663573089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5118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494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>C25*(E25-D25)</f>
        <v>7.0000000000000284</v>
      </c>
      <c r="G25" s="39">
        <f>D25*C25</f>
        <v>5118</v>
      </c>
      <c r="H25" s="222">
        <f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7" t="s">
        <v>78</v>
      </c>
      <c r="P40" s="857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59.388890000000004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58.848991000000005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58.309092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57.769193000000001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57.229294000000003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56.689394999999998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56.149495999999999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55.609597000000001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55.069698000000002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54.529798999999997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53.989899999999999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53.450001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52.910101999999995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52.370202999999997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51.830303999999998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51.290405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50.750505999999994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50.210607000000003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49.670707999999998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49.130808999999999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48.590910000000001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662</v>
      </c>
      <c r="L88" s="220" t="s">
        <v>668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18" priority="35">
      <formula>F47&gt;0</formula>
    </cfRule>
    <cfRule type="expression" dxfId="2217" priority="36">
      <formula>F47&lt;0</formula>
    </cfRule>
  </conditionalFormatting>
  <conditionalFormatting sqref="Q7">
    <cfRule type="expression" dxfId="2216" priority="33">
      <formula>Q7&gt;0</formula>
    </cfRule>
    <cfRule type="expression" dxfId="2215" priority="34">
      <formula>Q7&lt;0</formula>
    </cfRule>
  </conditionalFormatting>
  <conditionalFormatting sqref="Q8">
    <cfRule type="expression" dxfId="2214" priority="31">
      <formula>Q8&gt;0</formula>
    </cfRule>
    <cfRule type="expression" dxfId="2213" priority="32">
      <formula>Q8&lt;0</formula>
    </cfRule>
  </conditionalFormatting>
  <conditionalFormatting sqref="F30:F46">
    <cfRule type="expression" dxfId="2212" priority="29">
      <formula>F30&gt;0</formula>
    </cfRule>
    <cfRule type="expression" dxfId="2211" priority="30">
      <formula>F30&lt;0</formula>
    </cfRule>
  </conditionalFormatting>
  <conditionalFormatting sqref="H30:H46">
    <cfRule type="expression" dxfId="2210" priority="27">
      <formula>H30&gt;0</formula>
    </cfRule>
    <cfRule type="expression" dxfId="2209" priority="28">
      <formula>H30&lt;0</formula>
    </cfRule>
  </conditionalFormatting>
  <conditionalFormatting sqref="Q10">
    <cfRule type="expression" dxfId="2208" priority="25">
      <formula>Q10&gt;0</formula>
    </cfRule>
    <cfRule type="expression" dxfId="2207" priority="26">
      <formula>Q10&lt;0</formula>
    </cfRule>
  </conditionalFormatting>
  <conditionalFormatting sqref="J27:J38">
    <cfRule type="expression" dxfId="2206" priority="23">
      <formula>J27&gt;0</formula>
    </cfRule>
    <cfRule type="expression" dxfId="2205" priority="24">
      <formula>J27&lt;0</formula>
    </cfRule>
  </conditionalFormatting>
  <conditionalFormatting sqref="K27:K38">
    <cfRule type="expression" dxfId="2204" priority="21">
      <formula>K27&gt;0</formula>
    </cfRule>
    <cfRule type="expression" dxfId="2203" priority="22">
      <formula>K27&lt;0</formula>
    </cfRule>
  </conditionalFormatting>
  <conditionalFormatting sqref="L27:L38">
    <cfRule type="expression" dxfId="2202" priority="19">
      <formula>L27&gt;0</formula>
    </cfRule>
    <cfRule type="expression" dxfId="2201" priority="20">
      <formula>L27&lt;0</formula>
    </cfRule>
  </conditionalFormatting>
  <conditionalFormatting sqref="F89:F110">
    <cfRule type="expression" dxfId="2200" priority="17">
      <formula>F89&gt;0</formula>
    </cfRule>
    <cfRule type="expression" dxfId="2199" priority="18">
      <formula>F89&lt;0</formula>
    </cfRule>
  </conditionalFormatting>
  <conditionalFormatting sqref="H89:H110">
    <cfRule type="expression" dxfId="2198" priority="15">
      <formula>H89&gt;0</formula>
    </cfRule>
    <cfRule type="expression" dxfId="2197" priority="16">
      <formula>H89&lt;0</formula>
    </cfRule>
  </conditionalFormatting>
  <conditionalFormatting sqref="J89:J102">
    <cfRule type="expression" dxfId="2196" priority="13">
      <formula>J89&gt;0</formula>
    </cfRule>
    <cfRule type="expression" dxfId="2195" priority="14">
      <formula>J89&lt;0</formula>
    </cfRule>
  </conditionalFormatting>
  <conditionalFormatting sqref="K89:K102">
    <cfRule type="expression" dxfId="2194" priority="11">
      <formula>K89&gt;0</formula>
    </cfRule>
    <cfRule type="expression" dxfId="2193" priority="12">
      <formula>K89&lt;0</formula>
    </cfRule>
  </conditionalFormatting>
  <conditionalFormatting sqref="L89:L102">
    <cfRule type="expression" dxfId="2192" priority="9">
      <formula>L89&gt;0</formula>
    </cfRule>
    <cfRule type="expression" dxfId="2191" priority="10">
      <formula>L89&lt;0</formula>
    </cfRule>
  </conditionalFormatting>
  <conditionalFormatting sqref="F27:F29">
    <cfRule type="expression" dxfId="2190" priority="7">
      <formula>F27&gt;0</formula>
    </cfRule>
    <cfRule type="expression" dxfId="2189" priority="8">
      <formula>F27&lt;0</formula>
    </cfRule>
  </conditionalFormatting>
  <conditionalFormatting sqref="H27:H29">
    <cfRule type="expression" dxfId="2188" priority="5">
      <formula>H27&gt;0</formula>
    </cfRule>
    <cfRule type="expression" dxfId="2187" priority="6">
      <formula>H27&lt;0</formula>
    </cfRule>
  </conditionalFormatting>
  <conditionalFormatting sqref="F25:F26 H25:H26">
    <cfRule type="expression" dxfId="2186" priority="1">
      <formula>F25&gt;0</formula>
    </cfRule>
    <cfRule type="expression" dxfId="2185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272</v>
      </c>
      <c r="B2" s="474">
        <v>43300</v>
      </c>
      <c r="C2" s="4">
        <v>100</v>
      </c>
      <c r="D2" s="3">
        <v>64.88</v>
      </c>
      <c r="E2" s="3">
        <v>0</v>
      </c>
      <c r="F2" s="3">
        <f>C2*D2+E2</f>
        <v>6488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 t="s">
        <v>455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64.88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66.669899999999998</v>
      </c>
      <c r="R4" s="475">
        <v>5.0000000000000001E-3</v>
      </c>
      <c r="T4" s="156"/>
      <c r="U4" s="1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6666.99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6488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376.19999999999527</v>
      </c>
      <c r="R7" s="29">
        <v>43332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178.98999999999978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2.7587854500616488E-2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</row>
    <row r="12" spans="1:21" x14ac:dyDescent="0.25">
      <c r="H12" s="70"/>
      <c r="O12" s="11" t="s">
        <v>938</v>
      </c>
      <c r="Q12" s="1" t="s">
        <v>1230</v>
      </c>
    </row>
    <row r="13" spans="1:21" x14ac:dyDescent="0.25">
      <c r="H13" s="70"/>
      <c r="O13" s="11" t="s">
        <v>965</v>
      </c>
      <c r="Q13" s="2">
        <f>Q4/(6.87+7.08)*2</f>
        <v>9.5584086021505374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100</v>
      </c>
      <c r="D18" s="18"/>
      <c r="E18" s="18"/>
      <c r="F18" s="18">
        <f>SUM(F2:F7)</f>
        <v>6488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494</v>
      </c>
      <c r="K24" s="220" t="s">
        <v>150</v>
      </c>
      <c r="L24" s="220" t="s">
        <v>965</v>
      </c>
    </row>
    <row r="25" spans="1:13" x14ac:dyDescent="0.25">
      <c r="B25" s="184">
        <v>43300</v>
      </c>
      <c r="C25" s="10">
        <v>100</v>
      </c>
      <c r="D25" s="39">
        <v>64.88</v>
      </c>
      <c r="E25" s="39">
        <v>64.88</v>
      </c>
      <c r="F25" s="39">
        <f t="shared" ref="F25" si="0">C25*(E25-D25)</f>
        <v>0</v>
      </c>
      <c r="G25" s="39">
        <f t="shared" ref="G25" si="1">D25*C25</f>
        <v>6488</v>
      </c>
      <c r="H25" s="222">
        <f t="shared" ref="H25" si="2">(E25-D25)/D25</f>
        <v>0</v>
      </c>
      <c r="I25" s="39"/>
      <c r="J25" s="39"/>
      <c r="K25" s="39"/>
      <c r="L25" s="39">
        <v>9.48</v>
      </c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7" t="s">
        <v>78</v>
      </c>
      <c r="P40" s="857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73.336890000000011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3">O42*$Q$4</f>
        <v>72.670191000000003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3"/>
        <v>72.003492000000008</v>
      </c>
      <c r="Q43" s="2"/>
      <c r="T43" s="125" t="s">
        <v>97</v>
      </c>
      <c r="U43" s="126">
        <v>77.87</v>
      </c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3"/>
        <v>71.336793</v>
      </c>
      <c r="Q44" s="2"/>
      <c r="T44" s="91" t="s">
        <v>98</v>
      </c>
      <c r="U44" s="127">
        <v>77.819999999999993</v>
      </c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70.670094000000006</v>
      </c>
      <c r="Q45" s="2"/>
      <c r="T45" s="91" t="s">
        <v>99</v>
      </c>
      <c r="U45" s="127" t="s">
        <v>128</v>
      </c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70.003394999999998</v>
      </c>
      <c r="Q46" s="2"/>
      <c r="T46" s="91" t="s">
        <v>100</v>
      </c>
      <c r="U46" s="127" t="s">
        <v>128</v>
      </c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1.04</v>
      </c>
      <c r="P47" s="81">
        <f t="shared" si="3"/>
        <v>69.336696000000003</v>
      </c>
      <c r="Q47" s="2"/>
      <c r="T47" s="91" t="s">
        <v>101</v>
      </c>
      <c r="U47" s="127">
        <v>86.36</v>
      </c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O48" s="81">
        <v>1.03</v>
      </c>
      <c r="P48" s="81">
        <f t="shared" si="3"/>
        <v>68.669996999999995</v>
      </c>
      <c r="Q48" s="2"/>
      <c r="T48" s="91" t="s">
        <v>102</v>
      </c>
      <c r="U48" s="127">
        <v>0.61025200000000002</v>
      </c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O49" s="81">
        <v>1.02</v>
      </c>
      <c r="P49" s="81">
        <f t="shared" si="3"/>
        <v>68.003298000000001</v>
      </c>
      <c r="Q49" s="2"/>
      <c r="T49" s="91" t="s">
        <v>103</v>
      </c>
      <c r="U49" s="127" t="s">
        <v>467</v>
      </c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O50" s="81">
        <v>1.01</v>
      </c>
      <c r="P50" s="81">
        <f t="shared" si="3"/>
        <v>67.336598999999993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O51" s="81">
        <v>1</v>
      </c>
      <c r="P51" s="81">
        <f t="shared" si="3"/>
        <v>66.669899999999998</v>
      </c>
      <c r="Q51" s="2"/>
      <c r="T51" s="91" t="s">
        <v>104</v>
      </c>
      <c r="U51" s="127" t="s">
        <v>581</v>
      </c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O52" s="81">
        <v>0.99</v>
      </c>
      <c r="P52" s="81">
        <f t="shared" si="3"/>
        <v>66.003201000000004</v>
      </c>
      <c r="Q52" s="2"/>
      <c r="T52" s="91" t="s">
        <v>105</v>
      </c>
      <c r="U52" s="127" t="s">
        <v>303</v>
      </c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O53" s="81">
        <v>0.98</v>
      </c>
      <c r="P53" s="81">
        <f t="shared" si="3"/>
        <v>65.336501999999996</v>
      </c>
      <c r="Q53" s="2"/>
      <c r="T53" s="91" t="s">
        <v>106</v>
      </c>
      <c r="U53" s="128">
        <v>13351924</v>
      </c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O54" s="81">
        <v>0.97</v>
      </c>
      <c r="P54" s="81">
        <f t="shared" si="3"/>
        <v>64.669803000000002</v>
      </c>
      <c r="T54" s="91" t="s">
        <v>109</v>
      </c>
      <c r="U54" s="128">
        <v>7021070</v>
      </c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O55" s="81">
        <v>0.96</v>
      </c>
      <c r="P55" s="81">
        <f t="shared" si="3"/>
        <v>64.003103999999993</v>
      </c>
      <c r="T55" s="91" t="s">
        <v>107</v>
      </c>
      <c r="U55" s="127" t="s">
        <v>582</v>
      </c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O56" s="81">
        <v>0.95</v>
      </c>
      <c r="P56" s="81">
        <f t="shared" si="3"/>
        <v>63.336404999999992</v>
      </c>
      <c r="T56" s="91" t="s">
        <v>110</v>
      </c>
      <c r="U56" s="127">
        <v>15.69</v>
      </c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62.669705999999998</v>
      </c>
      <c r="T57" s="91" t="s">
        <v>111</v>
      </c>
      <c r="U57" s="127">
        <v>4.91</v>
      </c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3"/>
        <v>62.003007000000004</v>
      </c>
      <c r="T58" s="91" t="s">
        <v>108</v>
      </c>
      <c r="U58" s="127" t="s">
        <v>518</v>
      </c>
    </row>
    <row r="59" spans="1:21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  <c r="O59" s="81">
        <v>0.92</v>
      </c>
      <c r="P59" s="81">
        <f t="shared" si="3"/>
        <v>61.336308000000002</v>
      </c>
    </row>
    <row r="60" spans="1:21" x14ac:dyDescent="0.25">
      <c r="A60" s="371" t="s">
        <v>272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4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  <c r="O60" s="81">
        <v>0.91</v>
      </c>
      <c r="P60" s="81">
        <f t="shared" si="3"/>
        <v>60.669609000000001</v>
      </c>
    </row>
    <row r="61" spans="1:21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4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  <c r="O61" s="81">
        <v>0.9</v>
      </c>
      <c r="P61" s="81">
        <f t="shared" si="3"/>
        <v>60.00291</v>
      </c>
    </row>
    <row r="62" spans="1:21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4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21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4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21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4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4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5">C84*(E84-D84)</f>
        <v>1.6000000000002501</v>
      </c>
      <c r="G84" s="363">
        <f t="shared" ref="G84:G107" si="6">D84*C84</f>
        <v>1817</v>
      </c>
      <c r="H84" s="364">
        <f t="shared" ref="H84:H107" si="7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5"/>
        <v>-28.199999999999932</v>
      </c>
      <c r="G85" s="363">
        <f t="shared" si="6"/>
        <v>1817</v>
      </c>
      <c r="H85" s="364">
        <f t="shared" si="7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5"/>
        <v>-5.7999999999998408</v>
      </c>
      <c r="G86" s="363">
        <f t="shared" si="6"/>
        <v>1817</v>
      </c>
      <c r="H86" s="364">
        <f t="shared" si="7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5"/>
        <v>-84.599999999999795</v>
      </c>
      <c r="G87" s="363">
        <f t="shared" si="6"/>
        <v>3568.2</v>
      </c>
      <c r="H87" s="364">
        <f t="shared" si="7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5"/>
        <v>-112.1999999999997</v>
      </c>
      <c r="G88" s="363">
        <f t="shared" si="6"/>
        <v>3568.2</v>
      </c>
      <c r="H88" s="364">
        <f t="shared" si="7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5"/>
        <v>-204.20000000000016</v>
      </c>
      <c r="G89" s="363">
        <f t="shared" si="6"/>
        <v>3568.2</v>
      </c>
      <c r="H89" s="364">
        <f t="shared" si="7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5"/>
        <v>-304.80000000000018</v>
      </c>
      <c r="G90" s="363">
        <f t="shared" si="6"/>
        <v>6830.4</v>
      </c>
      <c r="H90" s="364">
        <f t="shared" si="7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5"/>
        <v>-905.59999999999945</v>
      </c>
      <c r="G91" s="363">
        <f t="shared" si="6"/>
        <v>6830.4</v>
      </c>
      <c r="H91" s="364">
        <f t="shared" si="7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5"/>
        <v>-679.19999999999959</v>
      </c>
      <c r="G92" s="363">
        <f t="shared" si="6"/>
        <v>6830.4</v>
      </c>
      <c r="H92" s="364">
        <f t="shared" si="7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5"/>
        <v>-499.19999999999959</v>
      </c>
      <c r="G93" s="363">
        <f t="shared" si="6"/>
        <v>6830.4</v>
      </c>
      <c r="H93" s="364">
        <f t="shared" si="7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5"/>
        <v>-216.7999999999995</v>
      </c>
      <c r="G94" s="363">
        <f t="shared" si="6"/>
        <v>6830.4</v>
      </c>
      <c r="H94" s="364">
        <f t="shared" si="7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5"/>
        <v>-305.59999999999945</v>
      </c>
      <c r="G95" s="363">
        <f t="shared" si="6"/>
        <v>6830.4</v>
      </c>
      <c r="H95" s="364">
        <f t="shared" si="7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5"/>
        <v>-487.00000000000045</v>
      </c>
      <c r="G96" s="363">
        <f t="shared" si="6"/>
        <v>8436</v>
      </c>
      <c r="H96" s="364">
        <f t="shared" si="7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5"/>
        <v>-615.47040000000015</v>
      </c>
      <c r="G97" s="363">
        <f t="shared" si="6"/>
        <v>14610.4704</v>
      </c>
      <c r="H97" s="364">
        <f t="shared" si="7"/>
        <v>-4.2125296663959574E-2</v>
      </c>
      <c r="I97" s="363"/>
      <c r="J97" s="363"/>
      <c r="K97" s="363"/>
      <c r="L97" s="362"/>
    </row>
    <row r="98" spans="1:12" x14ac:dyDescent="0.25">
      <c r="A98" s="362" t="s">
        <v>365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5"/>
        <v>-614.26960000000065</v>
      </c>
      <c r="G98" s="363">
        <f t="shared" si="6"/>
        <v>11499.269600000001</v>
      </c>
      <c r="H98" s="364">
        <f t="shared" si="7"/>
        <v>-5.3418140574771865E-2</v>
      </c>
      <c r="I98" s="363"/>
      <c r="J98" s="363"/>
      <c r="K98" s="363"/>
      <c r="L98" s="362"/>
    </row>
    <row r="99" spans="1:12" x14ac:dyDescent="0.25">
      <c r="A99" s="362" t="s">
        <v>380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5"/>
        <v>-998.47080000000028</v>
      </c>
      <c r="G99" s="363">
        <f t="shared" si="6"/>
        <v>14462.470799999999</v>
      </c>
      <c r="H99" s="364">
        <f t="shared" si="7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380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5"/>
        <v>-327.07079999999962</v>
      </c>
      <c r="G100" s="363">
        <f t="shared" si="6"/>
        <v>14462.470799999999</v>
      </c>
      <c r="H100" s="364">
        <f t="shared" si="7"/>
        <v>-2.2615139869461284E-2</v>
      </c>
      <c r="I100" s="363"/>
      <c r="J100" s="363"/>
      <c r="K100" s="363"/>
      <c r="L100" s="362"/>
    </row>
    <row r="101" spans="1:12" x14ac:dyDescent="0.25">
      <c r="A101" s="362" t="s">
        <v>434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5"/>
        <v>-105.65999999999804</v>
      </c>
      <c r="G101" s="363">
        <f t="shared" si="6"/>
        <v>14462.46</v>
      </c>
      <c r="H101" s="364">
        <f t="shared" si="7"/>
        <v>-7.3058110445939376E-3</v>
      </c>
      <c r="I101" s="363"/>
      <c r="J101" s="363"/>
      <c r="K101" s="363"/>
      <c r="L101" s="362"/>
    </row>
    <row r="102" spans="1:12" x14ac:dyDescent="0.25">
      <c r="A102" s="362" t="s">
        <v>436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5"/>
        <v>-24.939599999999871</v>
      </c>
      <c r="G102" s="363">
        <f t="shared" si="6"/>
        <v>11247.339599999999</v>
      </c>
      <c r="H102" s="364">
        <f t="shared" si="7"/>
        <v>-2.2173776988115368E-3</v>
      </c>
      <c r="I102" s="363"/>
      <c r="J102" s="363"/>
      <c r="K102" s="363"/>
      <c r="L102" s="362"/>
    </row>
    <row r="103" spans="1:12" x14ac:dyDescent="0.25">
      <c r="A103" s="362" t="s">
        <v>436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5"/>
        <v>159.86040000000116</v>
      </c>
      <c r="G103" s="363">
        <f t="shared" si="6"/>
        <v>11247.339599999999</v>
      </c>
      <c r="H103" s="364">
        <f t="shared" si="7"/>
        <v>1.4213174464830881E-2</v>
      </c>
      <c r="I103" s="363"/>
      <c r="J103" s="363"/>
      <c r="K103" s="363"/>
      <c r="L103" s="362"/>
    </row>
    <row r="104" spans="1:12" x14ac:dyDescent="0.25">
      <c r="A104" s="362" t="s">
        <v>465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5"/>
        <v>129.52199999999976</v>
      </c>
      <c r="G104" s="363">
        <f t="shared" si="6"/>
        <v>4751.4780000000001</v>
      </c>
      <c r="H104" s="364">
        <f t="shared" si="7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5"/>
        <v>32.322000000000344</v>
      </c>
      <c r="G105" s="363">
        <f t="shared" si="6"/>
        <v>4751.4780000000001</v>
      </c>
      <c r="H105" s="364">
        <f t="shared" si="7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5"/>
        <v>-42.078000000000202</v>
      </c>
      <c r="G106" s="363">
        <f t="shared" si="6"/>
        <v>4751.4780000000001</v>
      </c>
      <c r="H106" s="364">
        <f t="shared" si="7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5"/>
        <v>-73.800000000000239</v>
      </c>
      <c r="G107" s="363">
        <f t="shared" si="6"/>
        <v>4751.3999999999996</v>
      </c>
      <c r="H107" s="364">
        <f t="shared" si="7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184" priority="17">
      <formula>F57&gt;0</formula>
    </cfRule>
    <cfRule type="expression" dxfId="2183" priority="18">
      <formula>F57&lt;0</formula>
    </cfRule>
  </conditionalFormatting>
  <conditionalFormatting sqref="Q7">
    <cfRule type="expression" dxfId="2182" priority="15">
      <formula>Q7&gt;0</formula>
    </cfRule>
    <cfRule type="expression" dxfId="2181" priority="16">
      <formula>Q7&lt;0</formula>
    </cfRule>
  </conditionalFormatting>
  <conditionalFormatting sqref="Q8">
    <cfRule type="expression" dxfId="2180" priority="13">
      <formula>Q8&gt;0</formula>
    </cfRule>
    <cfRule type="expression" dxfId="2179" priority="14">
      <formula>Q8&lt;0</formula>
    </cfRule>
  </conditionalFormatting>
  <conditionalFormatting sqref="M58">
    <cfRule type="expression" dxfId="2178" priority="7">
      <formula>M58&gt;0</formula>
    </cfRule>
    <cfRule type="expression" dxfId="2177" priority="8">
      <formula>M58&lt;0</formula>
    </cfRule>
  </conditionalFormatting>
  <conditionalFormatting sqref="F84:F115">
    <cfRule type="expression" dxfId="2176" priority="5">
      <formula>F84&gt;0</formula>
    </cfRule>
    <cfRule type="expression" dxfId="2175" priority="6">
      <formula>F84&lt;0</formula>
    </cfRule>
  </conditionalFormatting>
  <conditionalFormatting sqref="H84:H115">
    <cfRule type="expression" dxfId="2174" priority="3">
      <formula>H84&gt;0</formula>
    </cfRule>
    <cfRule type="expression" dxfId="2173" priority="4">
      <formula>H84&lt;0</formula>
    </cfRule>
  </conditionalFormatting>
  <conditionalFormatting sqref="F25:F56 H25:H56">
    <cfRule type="expression" dxfId="2172" priority="1">
      <formula>F25&gt;0</formula>
    </cfRule>
    <cfRule type="expression" dxfId="2171" priority="2">
      <formula>F25&lt;0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728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248.63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248.63</v>
      </c>
      <c r="R4" s="495">
        <v>-4.5999999999999999E-3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</row>
    <row r="10" spans="1:21" x14ac:dyDescent="0.25">
      <c r="H10" s="70"/>
      <c r="O10" s="11" t="s">
        <v>206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662</v>
      </c>
      <c r="L24" s="220" t="s">
        <v>668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222">
        <f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222">
        <f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7" t="s">
        <v>78</v>
      </c>
      <c r="P40" s="857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273.49299999999999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271.00670000000002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268.5204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266.03410000000002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263.5478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261.06150000000002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258.5752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256.08890000000002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253.6026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251.1163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248.63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246.1437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243.6574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241.1711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238.6848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236.1985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233.7122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231.2259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228.7396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226.2533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223.767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70" priority="21">
      <formula>F47&gt;0</formula>
    </cfRule>
    <cfRule type="expression" dxfId="2169" priority="22">
      <formula>F47&lt;0</formula>
    </cfRule>
  </conditionalFormatting>
  <conditionalFormatting sqref="Q7">
    <cfRule type="expression" dxfId="2168" priority="19">
      <formula>Q7&gt;0</formula>
    </cfRule>
    <cfRule type="expression" dxfId="2167" priority="20">
      <formula>Q7&lt;0</formula>
    </cfRule>
  </conditionalFormatting>
  <conditionalFormatting sqref="Q8">
    <cfRule type="expression" dxfId="2166" priority="17">
      <formula>Q8&gt;0</formula>
    </cfRule>
    <cfRule type="expression" dxfId="2165" priority="18">
      <formula>Q8&lt;0</formula>
    </cfRule>
  </conditionalFormatting>
  <conditionalFormatting sqref="F25:F46">
    <cfRule type="expression" dxfId="2164" priority="15">
      <formula>F25&gt;0</formula>
    </cfRule>
    <cfRule type="expression" dxfId="2163" priority="16">
      <formula>F25&lt;0</formula>
    </cfRule>
  </conditionalFormatting>
  <conditionalFormatting sqref="H25:H46">
    <cfRule type="expression" dxfId="2162" priority="13">
      <formula>H25&gt;0</formula>
    </cfRule>
    <cfRule type="expression" dxfId="2161" priority="14">
      <formula>H25&lt;0</formula>
    </cfRule>
  </conditionalFormatting>
  <conditionalFormatting sqref="F89:F110">
    <cfRule type="expression" dxfId="2160" priority="11">
      <formula>F89&gt;0</formula>
    </cfRule>
    <cfRule type="expression" dxfId="2159" priority="12">
      <formula>F89&lt;0</formula>
    </cfRule>
  </conditionalFormatting>
  <conditionalFormatting sqref="H89:H110">
    <cfRule type="expression" dxfId="2158" priority="9">
      <formula>H89&gt;0</formula>
    </cfRule>
    <cfRule type="expression" dxfId="2157" priority="10">
      <formula>H89&lt;0</formula>
    </cfRule>
  </conditionalFormatting>
  <conditionalFormatting sqref="Q10">
    <cfRule type="expression" dxfId="2156" priority="7">
      <formula>Q10&gt;0</formula>
    </cfRule>
    <cfRule type="expression" dxfId="2155" priority="8">
      <formula>Q10&lt;0</formula>
    </cfRule>
  </conditionalFormatting>
  <conditionalFormatting sqref="J25:J38">
    <cfRule type="expression" dxfId="2154" priority="5">
      <formula>J25&gt;0</formula>
    </cfRule>
    <cfRule type="expression" dxfId="2153" priority="6">
      <formula>J25&lt;0</formula>
    </cfRule>
  </conditionalFormatting>
  <conditionalFormatting sqref="K25:K38">
    <cfRule type="expression" dxfId="2152" priority="3">
      <formula>K25&gt;0</formula>
    </cfRule>
    <cfRule type="expression" dxfId="2151" priority="4">
      <formula>K25&lt;0</formula>
    </cfRule>
  </conditionalFormatting>
  <conditionalFormatting sqref="L25:L38">
    <cfRule type="expression" dxfId="2150" priority="1">
      <formula>L25&gt;0</formula>
    </cfRule>
    <cfRule type="expression" dxfId="2149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791"/>
  <sheetViews>
    <sheetView topLeftCell="O1" zoomScaleNormal="100" workbookViewId="0">
      <pane ySplit="1" topLeftCell="A47" activePane="bottomLeft" state="frozen"/>
      <selection pane="bottomLeft" activeCell="T19" sqref="T19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23.5703125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3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C96-H96</f>
        <v>2000</v>
      </c>
      <c r="U2" s="121">
        <v>42804</v>
      </c>
      <c r="V2" s="837" t="s">
        <v>669</v>
      </c>
      <c r="W2" s="837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71" si="1">H3*I3-J3</f>
        <v>3119.93</v>
      </c>
      <c r="L3" s="72">
        <v>42846</v>
      </c>
      <c r="M3" s="43">
        <v>3.25</v>
      </c>
      <c r="O3" s="11" t="s">
        <v>58</v>
      </c>
      <c r="Q3" s="481">
        <f>IF(Q2=0, Q4, (F96-K96-M96)/Q2)</f>
        <v>7.6566949999999778</v>
      </c>
      <c r="U3" s="121">
        <v>42866</v>
      </c>
      <c r="V3" s="837" t="s">
        <v>670</v>
      </c>
      <c r="W3" s="837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20.83</v>
      </c>
      <c r="R4" s="475">
        <v>-1.9300000000000001E-2</v>
      </c>
      <c r="U4" s="121">
        <v>43088</v>
      </c>
      <c r="V4" s="737" t="s">
        <v>770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41660</v>
      </c>
      <c r="U5" s="121">
        <v>43096</v>
      </c>
      <c r="V5" s="737" t="s">
        <v>775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15313.389999999956</v>
      </c>
      <c r="U6" s="121">
        <v>43103</v>
      </c>
      <c r="V6" s="737" t="s">
        <v>825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40962.18100000167</v>
      </c>
      <c r="R7">
        <v>200</v>
      </c>
      <c r="V7" s="737" t="s">
        <v>826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K96+M96-F96+Q2*Q4</f>
        <v>26346.610000000044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207</v>
      </c>
      <c r="Q9" s="134">
        <f>IF(Q2=0, 0, Q8/Q6)</f>
        <v>1.7204949393961833</v>
      </c>
      <c r="U9" s="121">
        <v>43106</v>
      </c>
      <c r="V9" s="748" t="s">
        <v>846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206</v>
      </c>
      <c r="P10" s="33"/>
      <c r="Q10" s="2">
        <f>M526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9.6015362457993296E-3</v>
      </c>
      <c r="R11">
        <f>0.05</f>
        <v>0.05</v>
      </c>
      <c r="U11" s="121">
        <v>43117</v>
      </c>
      <c r="V11" s="737" t="s">
        <v>882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938</v>
      </c>
      <c r="Q12" s="1" t="s">
        <v>1113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965</v>
      </c>
      <c r="Q13" s="2">
        <f>Q4/0.63</f>
        <v>33.063492063492063</v>
      </c>
      <c r="U13" s="121">
        <v>43120</v>
      </c>
      <c r="V13" s="737" t="s">
        <v>888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1102</v>
      </c>
      <c r="Q14" s="736">
        <v>0.17199999999999999</v>
      </c>
      <c r="V14" s="737" t="s">
        <v>891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11" t="s">
        <v>1031</v>
      </c>
      <c r="Q15" s="29">
        <v>43285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890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4">
        <v>43136</v>
      </c>
      <c r="V17" s="737" t="s">
        <v>889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4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4">
        <v>43139</v>
      </c>
      <c r="V19" s="737" t="s">
        <v>916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4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4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4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57" t="s">
        <v>78</v>
      </c>
      <c r="P23" s="857"/>
      <c r="V23" s="737" t="s">
        <v>939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25.412599999999998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25.204299999999996</v>
      </c>
      <c r="U25" s="121">
        <v>43161</v>
      </c>
      <c r="V25" s="737" t="s">
        <v>940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24.995999999999999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24.787699999999997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24.579399999999996</v>
      </c>
      <c r="U28" s="824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24.371099999999995</v>
      </c>
      <c r="V29" s="737" t="s">
        <v>1030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24.162799999999997</v>
      </c>
      <c r="V30" s="737" t="s">
        <v>1038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23.954499999999996</v>
      </c>
      <c r="V31" s="737" t="s">
        <v>1041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23.746199999999995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23.537899999999997</v>
      </c>
      <c r="U33" s="121">
        <v>43238</v>
      </c>
      <c r="V33" s="748" t="s">
        <v>1083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23.329599999999999</v>
      </c>
      <c r="V34" s="737" t="s">
        <v>1084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23.121300000000002</v>
      </c>
      <c r="V35" s="737" t="s">
        <v>1085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22.913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22.704699999999999</v>
      </c>
      <c r="U37" s="121">
        <v>43285</v>
      </c>
      <c r="V37" s="737" t="s">
        <v>1148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22.496400000000001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22.2881</v>
      </c>
      <c r="U39" s="121">
        <v>43297</v>
      </c>
      <c r="V39" s="737" t="s">
        <v>1206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22.079799999999999</v>
      </c>
      <c r="U40" s="121">
        <v>43299</v>
      </c>
      <c r="V40" s="737" t="s">
        <v>1213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21.871499999999997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21.6632</v>
      </c>
      <c r="U42" s="849">
        <v>43306</v>
      </c>
      <c r="V42" s="737" t="s">
        <v>889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21.454899999999999</v>
      </c>
      <c r="U43" s="849">
        <v>43313</v>
      </c>
      <c r="V43" s="737" t="s">
        <v>1207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21.246599999999997</v>
      </c>
      <c r="U44" s="849"/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21.0383</v>
      </c>
      <c r="U45" s="849">
        <v>43319</v>
      </c>
      <c r="V45" s="737" t="s">
        <v>1176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20.83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20.621699999999997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20.413399999999999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20.205099999999998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19.996799999999997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19.788499999999999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19.580199999999998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19.3719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19.163599999999999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18.955299999999998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18.747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18.538699999999999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18.330399999999997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7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18.1221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7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17.913799999999998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7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17.705499999999997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7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7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89" si="4">C64*D64+E64</f>
        <v>7760</v>
      </c>
      <c r="G64" s="47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7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7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7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7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7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7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7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29"/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29"/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29"/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2"/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29"/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29"/>
      <c r="AA77" s="2"/>
      <c r="AD77" s="2"/>
      <c r="AG77" s="2"/>
      <c r="AI77" s="2"/>
    </row>
    <row r="78" spans="1:35" x14ac:dyDescent="0.25">
      <c r="B78" s="47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29"/>
      <c r="AA78" s="2"/>
      <c r="AD78" s="2"/>
      <c r="AG78" s="2"/>
      <c r="AI78" s="2"/>
    </row>
    <row r="79" spans="1:35" x14ac:dyDescent="0.25">
      <c r="B79" s="47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29"/>
      <c r="AA79" s="2"/>
      <c r="AD79" s="2"/>
      <c r="AG79" s="2"/>
      <c r="AI79" s="2"/>
    </row>
    <row r="80" spans="1:35" x14ac:dyDescent="0.25">
      <c r="A80" s="858" t="s">
        <v>1125</v>
      </c>
      <c r="B80" s="47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29"/>
      <c r="AA80" s="2"/>
      <c r="AD80" s="2"/>
      <c r="AG80" s="2"/>
      <c r="AI80" s="2"/>
    </row>
    <row r="81" spans="1:35" x14ac:dyDescent="0.25">
      <c r="A81" s="858"/>
      <c r="B81" s="47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29"/>
      <c r="AA81" s="2"/>
      <c r="AD81" s="2"/>
      <c r="AG81" s="2"/>
      <c r="AI81" s="2"/>
    </row>
    <row r="82" spans="1:35" x14ac:dyDescent="0.25">
      <c r="A82" s="858"/>
      <c r="B82" s="47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29"/>
      <c r="AA82" s="2"/>
      <c r="AD82" s="2"/>
      <c r="AG82" s="2"/>
      <c r="AI82" s="2"/>
    </row>
    <row r="83" spans="1:35" x14ac:dyDescent="0.25">
      <c r="B83" s="47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29"/>
      <c r="AA83" s="2"/>
      <c r="AD83" s="2"/>
      <c r="AG83" s="2"/>
      <c r="AI83" s="2"/>
    </row>
    <row r="84" spans="1:35" x14ac:dyDescent="0.25">
      <c r="B84" s="477">
        <v>43276</v>
      </c>
      <c r="C84" s="4">
        <v>200</v>
      </c>
      <c r="D84" s="231">
        <v>20.48</v>
      </c>
      <c r="E84" s="3">
        <v>0</v>
      </c>
      <c r="F84" s="3">
        <f t="shared" si="4"/>
        <v>4096</v>
      </c>
      <c r="G84" s="29"/>
      <c r="AA84" s="2"/>
      <c r="AD84" s="2"/>
      <c r="AG84" s="2"/>
      <c r="AI84" s="2"/>
    </row>
    <row r="85" spans="1:35" x14ac:dyDescent="0.25">
      <c r="B85" s="735">
        <v>43286</v>
      </c>
      <c r="C85" s="4">
        <v>200</v>
      </c>
      <c r="D85" s="231">
        <v>20.88</v>
      </c>
      <c r="E85" s="3">
        <v>0</v>
      </c>
      <c r="F85" s="3">
        <f t="shared" si="4"/>
        <v>4176</v>
      </c>
      <c r="G85" s="29"/>
      <c r="AA85" s="2"/>
      <c r="AD85" s="2"/>
      <c r="AG85" s="2"/>
      <c r="AI85" s="2"/>
    </row>
    <row r="86" spans="1:35" x14ac:dyDescent="0.25">
      <c r="B86" s="735">
        <v>43286</v>
      </c>
      <c r="C86" s="4">
        <v>300</v>
      </c>
      <c r="D86" s="231">
        <v>20.68</v>
      </c>
      <c r="E86" s="3">
        <v>0</v>
      </c>
      <c r="F86" s="3">
        <f t="shared" si="4"/>
        <v>6204</v>
      </c>
      <c r="G86" s="29"/>
      <c r="AA86" s="2"/>
      <c r="AD86" s="2"/>
      <c r="AG86" s="2"/>
      <c r="AI86" s="2"/>
    </row>
    <row r="87" spans="1:35" x14ac:dyDescent="0.25">
      <c r="A87" s="859" t="s">
        <v>1205</v>
      </c>
      <c r="B87" s="735">
        <v>43292</v>
      </c>
      <c r="C87" s="4">
        <v>300</v>
      </c>
      <c r="D87" s="231">
        <v>21.3</v>
      </c>
      <c r="E87" s="3">
        <v>0</v>
      </c>
      <c r="F87" s="3">
        <f t="shared" si="4"/>
        <v>6390</v>
      </c>
      <c r="G87" s="29"/>
      <c r="AA87" s="2"/>
      <c r="AD87" s="2"/>
      <c r="AG87" s="2"/>
      <c r="AI87" s="2"/>
    </row>
    <row r="88" spans="1:35" x14ac:dyDescent="0.25">
      <c r="A88" s="859"/>
      <c r="B88" s="735">
        <v>43297</v>
      </c>
      <c r="C88" s="4">
        <v>500</v>
      </c>
      <c r="D88" s="231">
        <v>20.38</v>
      </c>
      <c r="E88" s="3">
        <v>0</v>
      </c>
      <c r="F88" s="3">
        <f t="shared" si="4"/>
        <v>10190</v>
      </c>
      <c r="G88" s="29"/>
      <c r="AA88" s="2"/>
      <c r="AD88" s="2"/>
      <c r="AG88" s="2"/>
      <c r="AI88" s="2"/>
    </row>
    <row r="89" spans="1:35" x14ac:dyDescent="0.25">
      <c r="A89" s="859"/>
      <c r="B89" s="735">
        <v>43297</v>
      </c>
      <c r="C89" s="4">
        <v>500</v>
      </c>
      <c r="D89" s="231">
        <v>19.95</v>
      </c>
      <c r="E89" s="3">
        <v>0</v>
      </c>
      <c r="F89" s="3">
        <f t="shared" si="4"/>
        <v>9975</v>
      </c>
      <c r="G89" s="29"/>
    </row>
    <row r="90" spans="1:35" x14ac:dyDescent="0.25">
      <c r="C90" s="4"/>
      <c r="G90" s="29"/>
    </row>
    <row r="91" spans="1:35" x14ac:dyDescent="0.25">
      <c r="G91" s="29"/>
    </row>
    <row r="92" spans="1:35" x14ac:dyDescent="0.25">
      <c r="G92" s="29"/>
    </row>
    <row r="93" spans="1:35" x14ac:dyDescent="0.25">
      <c r="G93" s="29"/>
    </row>
    <row r="94" spans="1:35" x14ac:dyDescent="0.25">
      <c r="G94" s="29"/>
    </row>
    <row r="95" spans="1:35" x14ac:dyDescent="0.25">
      <c r="G95" s="29"/>
    </row>
    <row r="96" spans="1:35" x14ac:dyDescent="0.25">
      <c r="A96" s="31" t="s">
        <v>81</v>
      </c>
      <c r="B96" s="478"/>
      <c r="C96" s="71">
        <f>SUM(C2:C95)</f>
        <v>27300</v>
      </c>
      <c r="D96" s="18"/>
      <c r="E96" s="18"/>
      <c r="F96" s="18">
        <f>SUM(F2:F95)</f>
        <v>442606.05</v>
      </c>
      <c r="G96" s="14"/>
      <c r="H96" s="71">
        <f>SUM(H2:H95)</f>
        <v>25300</v>
      </c>
      <c r="I96" s="79"/>
      <c r="J96" s="18"/>
      <c r="K96" s="18">
        <f>SUM(K2:K95)</f>
        <v>425579.41000000003</v>
      </c>
      <c r="L96" s="14"/>
      <c r="M96" s="18">
        <f>SUM(M2:M95)</f>
        <v>1713.25</v>
      </c>
    </row>
    <row r="97" spans="1:13" ht="15.75" thickBot="1" x14ac:dyDescent="0.3">
      <c r="A97" s="341" t="s">
        <v>193</v>
      </c>
      <c r="B97" s="479"/>
      <c r="C97" s="343">
        <f>SumByColor($A$97, C2:C95)</f>
        <v>25300</v>
      </c>
      <c r="D97" s="343"/>
      <c r="E97" s="343"/>
      <c r="F97" s="344">
        <f>SumByColor($A$97, F2:F95)</f>
        <v>401576</v>
      </c>
      <c r="G97" s="343"/>
      <c r="H97" s="343">
        <f>SumByColor($A$97, H2:H95)</f>
        <v>25300</v>
      </c>
      <c r="I97" s="343"/>
      <c r="J97" s="344"/>
      <c r="K97" s="344">
        <f>SumByColor($A$97, K2:K95)</f>
        <v>425587</v>
      </c>
      <c r="L97" s="343"/>
      <c r="M97" s="344">
        <f>SumByColor($A$97, M2:M95)</f>
        <v>1713</v>
      </c>
    </row>
    <row r="100" spans="1:13" x14ac:dyDescent="0.25">
      <c r="B100" s="480" t="s">
        <v>113</v>
      </c>
      <c r="C100" s="182" t="s">
        <v>146</v>
      </c>
      <c r="D100" s="190" t="s">
        <v>145</v>
      </c>
      <c r="E100" s="185" t="s">
        <v>147</v>
      </c>
      <c r="F100" s="186" t="s">
        <v>65</v>
      </c>
      <c r="G100" s="220" t="s">
        <v>151</v>
      </c>
      <c r="H100" s="186" t="s">
        <v>88</v>
      </c>
      <c r="I100" s="220" t="s">
        <v>154</v>
      </c>
      <c r="J100" s="220" t="s">
        <v>494</v>
      </c>
      <c r="K100" s="220" t="s">
        <v>150</v>
      </c>
      <c r="L100" s="220" t="s">
        <v>915</v>
      </c>
    </row>
    <row r="101" spans="1:13" x14ac:dyDescent="0.25">
      <c r="A101" t="s">
        <v>426</v>
      </c>
      <c r="B101" s="150">
        <v>42787</v>
      </c>
      <c r="C101" s="10">
        <v>5700</v>
      </c>
      <c r="D101" s="233">
        <v>16.667088</v>
      </c>
      <c r="E101" s="39">
        <v>16.38</v>
      </c>
      <c r="F101" s="39">
        <f t="shared" ref="F101:F117" si="5">C101*(E101-D101)</f>
        <v>-1636.4016000000038</v>
      </c>
      <c r="G101" s="39">
        <f t="shared" ref="G101:G117" si="6">D101*C101</f>
        <v>95002.401599999997</v>
      </c>
      <c r="H101" s="222">
        <f t="shared" ref="H101:H117" si="7">(E101-D101)/D101</f>
        <v>-1.7224844555929666E-2</v>
      </c>
      <c r="I101" s="39"/>
      <c r="J101" s="39"/>
      <c r="K101" s="39"/>
      <c r="L101" s="39"/>
    </row>
    <row r="102" spans="1:13" x14ac:dyDescent="0.25">
      <c r="A102" t="s">
        <v>438</v>
      </c>
      <c r="B102" s="150">
        <v>42788</v>
      </c>
      <c r="C102" s="425">
        <v>6000</v>
      </c>
      <c r="D102" s="642">
        <v>16.620999999999999</v>
      </c>
      <c r="E102" s="39">
        <v>15.76</v>
      </c>
      <c r="F102" s="39">
        <f t="shared" si="5"/>
        <v>-5165.9999999999936</v>
      </c>
      <c r="G102" s="39">
        <f t="shared" si="6"/>
        <v>99725.999999999985</v>
      </c>
      <c r="H102" s="222">
        <f t="shared" si="7"/>
        <v>-5.1801937308224473E-2</v>
      </c>
      <c r="I102" s="39"/>
      <c r="J102" s="39"/>
      <c r="K102" s="39"/>
      <c r="L102" s="39"/>
    </row>
    <row r="103" spans="1:13" x14ac:dyDescent="0.25">
      <c r="A103">
        <v>600</v>
      </c>
      <c r="B103" s="150">
        <v>42795</v>
      </c>
      <c r="C103" s="10">
        <v>5500</v>
      </c>
      <c r="D103" s="233">
        <v>16.619900000000001</v>
      </c>
      <c r="E103" s="39">
        <v>16.45</v>
      </c>
      <c r="F103" s="39">
        <f t="shared" si="5"/>
        <v>-934.45000000001062</v>
      </c>
      <c r="G103" s="39">
        <f t="shared" si="6"/>
        <v>91409.450000000012</v>
      </c>
      <c r="H103" s="222">
        <f t="shared" si="7"/>
        <v>-1.0222684853699596E-2</v>
      </c>
      <c r="I103" s="39">
        <v>16.399999999999999</v>
      </c>
      <c r="J103" s="39"/>
      <c r="K103" s="39">
        <v>13681</v>
      </c>
      <c r="L103" s="39"/>
    </row>
    <row r="104" spans="1:13" x14ac:dyDescent="0.25">
      <c r="A104">
        <v>1400</v>
      </c>
      <c r="B104" s="150">
        <v>42796</v>
      </c>
      <c r="C104" s="10">
        <v>6000</v>
      </c>
      <c r="D104" s="233">
        <v>16.589099999999998</v>
      </c>
      <c r="E104" s="39">
        <v>16.14</v>
      </c>
      <c r="F104" s="39">
        <f t="shared" si="5"/>
        <v>-2694.5999999999872</v>
      </c>
      <c r="G104" s="39">
        <f t="shared" si="6"/>
        <v>99534.599999999991</v>
      </c>
      <c r="H104" s="222">
        <f t="shared" si="7"/>
        <v>-2.7071993055681011E-2</v>
      </c>
      <c r="I104" s="39">
        <v>16.25</v>
      </c>
      <c r="J104" s="39"/>
      <c r="K104" s="39">
        <v>11921</v>
      </c>
      <c r="L104" s="39"/>
    </row>
    <row r="105" spans="1:13" x14ac:dyDescent="0.25">
      <c r="A105">
        <v>3600</v>
      </c>
      <c r="B105" s="150">
        <v>42798</v>
      </c>
      <c r="C105" s="10">
        <v>6000</v>
      </c>
      <c r="D105" s="233">
        <v>16.589099999999998</v>
      </c>
      <c r="E105" s="39">
        <v>16.14</v>
      </c>
      <c r="F105" s="39">
        <f t="shared" si="5"/>
        <v>-2694.5999999999872</v>
      </c>
      <c r="G105" s="39">
        <f t="shared" si="6"/>
        <v>99534.599999999991</v>
      </c>
      <c r="H105" s="222">
        <f t="shared" si="7"/>
        <v>-2.7071993055681011E-2</v>
      </c>
      <c r="I105" s="39">
        <v>16.25</v>
      </c>
      <c r="J105" s="39"/>
      <c r="K105" s="39">
        <v>12161</v>
      </c>
      <c r="L105" s="39"/>
    </row>
    <row r="106" spans="1:13" x14ac:dyDescent="0.25">
      <c r="A106">
        <v>3600</v>
      </c>
      <c r="B106" s="150">
        <v>42800</v>
      </c>
      <c r="C106" s="10">
        <v>6000</v>
      </c>
      <c r="D106" s="233">
        <v>16.589099999999998</v>
      </c>
      <c r="E106" s="39">
        <v>16.47</v>
      </c>
      <c r="F106" s="39">
        <f t="shared" si="5"/>
        <v>-714.59999999999718</v>
      </c>
      <c r="G106" s="39">
        <f t="shared" si="6"/>
        <v>99534.599999999991</v>
      </c>
      <c r="H106" s="222">
        <f t="shared" si="7"/>
        <v>-7.1794129880463405E-3</v>
      </c>
      <c r="I106" s="39">
        <v>16.25</v>
      </c>
      <c r="J106" s="39"/>
      <c r="K106" s="39">
        <v>13901</v>
      </c>
      <c r="L106" s="39"/>
    </row>
    <row r="107" spans="1:13" x14ac:dyDescent="0.25">
      <c r="A107">
        <v>3600</v>
      </c>
      <c r="B107" s="150">
        <v>42802</v>
      </c>
      <c r="C107" s="10">
        <v>6700</v>
      </c>
      <c r="D107" s="233">
        <v>16.427</v>
      </c>
      <c r="E107" s="39">
        <v>14.87</v>
      </c>
      <c r="F107" s="39">
        <f t="shared" si="5"/>
        <v>-10431.900000000003</v>
      </c>
      <c r="G107" s="39">
        <f t="shared" si="6"/>
        <v>110060.9</v>
      </c>
      <c r="H107" s="223">
        <f t="shared" si="7"/>
        <v>-9.478297924149269E-2</v>
      </c>
      <c r="I107" s="39"/>
      <c r="J107" s="39"/>
      <c r="K107" s="39">
        <v>4183.99</v>
      </c>
      <c r="L107" s="39"/>
    </row>
    <row r="108" spans="1:13" x14ac:dyDescent="0.25">
      <c r="A108">
        <v>3600</v>
      </c>
      <c r="B108" s="150">
        <v>42803</v>
      </c>
      <c r="C108" s="10">
        <v>6000</v>
      </c>
      <c r="D108" s="233">
        <v>16.50263</v>
      </c>
      <c r="E108" s="39">
        <v>16.07</v>
      </c>
      <c r="F108" s="39">
        <f t="shared" si="5"/>
        <v>-2595.7799999999979</v>
      </c>
      <c r="G108" s="39">
        <f t="shared" si="6"/>
        <v>99015.78</v>
      </c>
      <c r="H108" s="223">
        <f t="shared" si="7"/>
        <v>-2.6215821356959445E-2</v>
      </c>
      <c r="I108" s="39">
        <v>16.25</v>
      </c>
      <c r="J108" s="39"/>
      <c r="K108" s="39">
        <v>12020</v>
      </c>
      <c r="L108" s="39"/>
    </row>
    <row r="109" spans="1:13" x14ac:dyDescent="0.25">
      <c r="A109">
        <v>4200</v>
      </c>
      <c r="B109" s="150">
        <v>42805</v>
      </c>
      <c r="C109" s="425">
        <v>6000</v>
      </c>
      <c r="D109" s="642">
        <v>16.447600000000001</v>
      </c>
      <c r="E109" s="39">
        <v>16.16</v>
      </c>
      <c r="F109" s="39">
        <f t="shared" si="5"/>
        <v>-1725.6000000000072</v>
      </c>
      <c r="G109" s="39">
        <f t="shared" si="6"/>
        <v>98685.6</v>
      </c>
      <c r="H109" s="223">
        <f t="shared" si="7"/>
        <v>-1.7485833799460174E-2</v>
      </c>
      <c r="I109" s="39" t="s">
        <v>185</v>
      </c>
      <c r="J109" s="39"/>
      <c r="K109" s="39">
        <v>12890</v>
      </c>
      <c r="L109" s="39"/>
    </row>
    <row r="110" spans="1:13" x14ac:dyDescent="0.25">
      <c r="A110">
        <v>4200</v>
      </c>
      <c r="B110" s="150">
        <v>42807</v>
      </c>
      <c r="C110" s="10">
        <v>6000</v>
      </c>
      <c r="D110" s="233">
        <v>16.447600000000001</v>
      </c>
      <c r="E110" s="39">
        <v>15.84</v>
      </c>
      <c r="F110" s="39">
        <f t="shared" si="5"/>
        <v>-3645.600000000009</v>
      </c>
      <c r="G110" s="39">
        <f t="shared" si="6"/>
        <v>98685.6</v>
      </c>
      <c r="H110" s="223">
        <f t="shared" si="7"/>
        <v>-3.6941559862837217E-2</v>
      </c>
      <c r="I110" s="39"/>
      <c r="J110" s="39"/>
      <c r="K110" s="39">
        <v>10970</v>
      </c>
      <c r="L110" s="39"/>
    </row>
    <row r="111" spans="1:13" x14ac:dyDescent="0.25">
      <c r="A111">
        <v>3700</v>
      </c>
      <c r="B111" s="150">
        <v>42808</v>
      </c>
      <c r="C111" s="425">
        <v>6000</v>
      </c>
      <c r="D111" s="642">
        <v>16.422999999999998</v>
      </c>
      <c r="E111" s="39">
        <v>15.32</v>
      </c>
      <c r="F111" s="39">
        <f t="shared" si="5"/>
        <v>-6617.9999999999882</v>
      </c>
      <c r="G111" s="39">
        <f t="shared" si="6"/>
        <v>98537.999999999985</v>
      </c>
      <c r="H111" s="223">
        <f t="shared" si="7"/>
        <v>-6.7161907081531885E-2</v>
      </c>
      <c r="I111" s="39">
        <v>16.25</v>
      </c>
      <c r="J111" s="39">
        <v>41.23</v>
      </c>
      <c r="K111" s="39">
        <v>8000</v>
      </c>
      <c r="L111" s="39"/>
    </row>
    <row r="112" spans="1:13" x14ac:dyDescent="0.25">
      <c r="A112">
        <v>3700</v>
      </c>
      <c r="B112" s="150">
        <v>42809</v>
      </c>
      <c r="C112" s="10">
        <v>6000</v>
      </c>
      <c r="D112" s="233">
        <v>16.422999999999998</v>
      </c>
      <c r="E112" s="39">
        <v>15.56</v>
      </c>
      <c r="F112" s="39">
        <f t="shared" si="5"/>
        <v>-5177.9999999999864</v>
      </c>
      <c r="G112" s="39">
        <f t="shared" si="6"/>
        <v>98537.999999999985</v>
      </c>
      <c r="H112" s="223">
        <f t="shared" si="7"/>
        <v>-5.254825549534177E-2</v>
      </c>
      <c r="I112" s="39">
        <v>16.25</v>
      </c>
      <c r="J112" s="39">
        <v>44</v>
      </c>
      <c r="K112" s="39">
        <v>9439</v>
      </c>
      <c r="L112" s="39"/>
    </row>
    <row r="113" spans="1:12" x14ac:dyDescent="0.25">
      <c r="A113">
        <v>4000</v>
      </c>
      <c r="B113" s="150">
        <v>42815</v>
      </c>
      <c r="C113" s="10">
        <v>6400</v>
      </c>
      <c r="D113" s="233">
        <v>16.349399999999999</v>
      </c>
      <c r="E113" s="39">
        <v>15.05</v>
      </c>
      <c r="F113" s="39">
        <f t="shared" si="5"/>
        <v>-8316.1599999999908</v>
      </c>
      <c r="G113" s="39">
        <f t="shared" si="6"/>
        <v>104636.15999999999</v>
      </c>
      <c r="H113" s="223">
        <f t="shared" si="7"/>
        <v>-7.9476922700527156E-2</v>
      </c>
      <c r="I113" s="39"/>
      <c r="J113" s="39"/>
      <c r="K113" s="39">
        <v>6300</v>
      </c>
      <c r="L113" s="39"/>
    </row>
    <row r="114" spans="1:12" x14ac:dyDescent="0.25">
      <c r="A114">
        <v>4300</v>
      </c>
      <c r="B114" s="150">
        <v>42819</v>
      </c>
      <c r="C114" s="10">
        <v>6400</v>
      </c>
      <c r="D114" s="233">
        <v>16.349399999999999</v>
      </c>
      <c r="E114" s="39">
        <v>14.61</v>
      </c>
      <c r="F114" s="39">
        <f t="shared" si="5"/>
        <v>-11132.16</v>
      </c>
      <c r="G114" s="39">
        <f t="shared" si="6"/>
        <v>104636.15999999999</v>
      </c>
      <c r="H114" s="223">
        <f t="shared" si="7"/>
        <v>-0.10638922529267128</v>
      </c>
      <c r="I114" s="39"/>
      <c r="J114" s="39"/>
      <c r="K114" s="39">
        <v>3484</v>
      </c>
      <c r="L114" s="39"/>
    </row>
    <row r="115" spans="1:12" x14ac:dyDescent="0.25">
      <c r="A115">
        <v>4300</v>
      </c>
      <c r="B115" s="150">
        <v>42821</v>
      </c>
      <c r="C115" s="10">
        <v>6400</v>
      </c>
      <c r="D115" s="233">
        <v>16.349399999999999</v>
      </c>
      <c r="E115" s="39">
        <v>14.75</v>
      </c>
      <c r="F115" s="39">
        <f t="shared" si="5"/>
        <v>-10236.159999999996</v>
      </c>
      <c r="G115" s="39">
        <f t="shared" si="6"/>
        <v>104636.15999999999</v>
      </c>
      <c r="H115" s="223">
        <f t="shared" si="7"/>
        <v>-9.78262199224436E-2</v>
      </c>
      <c r="I115" s="39"/>
      <c r="J115" s="39"/>
      <c r="K115" s="39">
        <v>4380</v>
      </c>
      <c r="L115" s="39"/>
    </row>
    <row r="116" spans="1:12" x14ac:dyDescent="0.25">
      <c r="A116">
        <v>4300</v>
      </c>
      <c r="B116" s="150">
        <v>42822</v>
      </c>
      <c r="C116" s="10">
        <v>6400</v>
      </c>
      <c r="D116" s="233">
        <v>16.349399999999999</v>
      </c>
      <c r="E116" s="39">
        <v>15.23</v>
      </c>
      <c r="F116" s="39">
        <f t="shared" si="5"/>
        <v>-7164.1599999999926</v>
      </c>
      <c r="G116" s="39">
        <f t="shared" si="6"/>
        <v>104636.15999999999</v>
      </c>
      <c r="H116" s="223">
        <f t="shared" si="7"/>
        <v>-6.8467344367377322E-2</v>
      </c>
      <c r="I116" s="39"/>
      <c r="J116" s="39"/>
      <c r="K116" s="39">
        <v>7452</v>
      </c>
      <c r="L116" s="39"/>
    </row>
    <row r="117" spans="1:12" x14ac:dyDescent="0.25">
      <c r="A117">
        <v>3900</v>
      </c>
      <c r="B117" s="150">
        <v>42823</v>
      </c>
      <c r="C117" s="425">
        <v>6000</v>
      </c>
      <c r="D117" s="642">
        <v>16.407399999999999</v>
      </c>
      <c r="E117" s="39">
        <v>15.48</v>
      </c>
      <c r="F117" s="39">
        <f t="shared" si="5"/>
        <v>-5564.3999999999924</v>
      </c>
      <c r="G117" s="39">
        <f t="shared" si="6"/>
        <v>98444.4</v>
      </c>
      <c r="H117" s="223">
        <f t="shared" si="7"/>
        <v>-5.6523276082743074E-2</v>
      </c>
      <c r="I117" s="39">
        <v>16.25</v>
      </c>
      <c r="J117" s="39"/>
      <c r="K117" s="39">
        <v>9051</v>
      </c>
      <c r="L117" s="39"/>
    </row>
    <row r="118" spans="1:12" x14ac:dyDescent="0.25">
      <c r="A118">
        <v>4100</v>
      </c>
      <c r="B118" s="150">
        <v>42830</v>
      </c>
      <c r="C118" s="425">
        <v>6000</v>
      </c>
      <c r="D118" s="642">
        <v>16.388999999999999</v>
      </c>
      <c r="E118" s="39">
        <v>15.98</v>
      </c>
      <c r="F118" s="39">
        <f t="shared" ref="F118:F131" si="8">C118*(E118-D118)</f>
        <v>-2453.9999999999936</v>
      </c>
      <c r="G118" s="39">
        <f t="shared" ref="G118:G131" si="9">D118*C118</f>
        <v>98334</v>
      </c>
      <c r="H118" s="223">
        <f t="shared" ref="H118:H131" si="10">(E118-D118)/D118</f>
        <v>-2.4955763011776128E-2</v>
      </c>
      <c r="I118" s="39">
        <v>16.25</v>
      </c>
      <c r="J118" s="39"/>
      <c r="K118" s="39">
        <v>12159</v>
      </c>
      <c r="L118" s="39"/>
    </row>
    <row r="119" spans="1:12" x14ac:dyDescent="0.25">
      <c r="A119">
        <v>4800</v>
      </c>
      <c r="B119" s="150">
        <v>42838</v>
      </c>
      <c r="C119" s="10">
        <v>6200</v>
      </c>
      <c r="D119" s="233">
        <v>16.375</v>
      </c>
      <c r="E119" s="39">
        <v>15.9</v>
      </c>
      <c r="F119" s="39">
        <f t="shared" si="8"/>
        <v>-2944.9999999999977</v>
      </c>
      <c r="G119" s="39">
        <f t="shared" si="9"/>
        <v>101525</v>
      </c>
      <c r="H119" s="222">
        <f t="shared" si="10"/>
        <v>-2.9007633587786238E-2</v>
      </c>
      <c r="I119" s="39"/>
      <c r="J119" s="39"/>
      <c r="K119" s="39">
        <v>11731</v>
      </c>
      <c r="L119" s="39"/>
    </row>
    <row r="120" spans="1:12" x14ac:dyDescent="0.25">
      <c r="A120">
        <v>5300</v>
      </c>
      <c r="B120" s="150">
        <v>42844</v>
      </c>
      <c r="C120" s="10">
        <v>6400</v>
      </c>
      <c r="D120" s="233">
        <v>16.335000000000001</v>
      </c>
      <c r="E120" s="39">
        <v>15.06</v>
      </c>
      <c r="F120" s="39">
        <f t="shared" si="8"/>
        <v>-8160.0000000000018</v>
      </c>
      <c r="G120" s="39">
        <f t="shared" si="9"/>
        <v>104544</v>
      </c>
      <c r="H120" s="222">
        <f t="shared" si="10"/>
        <v>-7.805325987144171E-2</v>
      </c>
      <c r="I120" s="39"/>
      <c r="J120" s="39"/>
      <c r="K120" s="39">
        <v>6457</v>
      </c>
      <c r="L120" s="39"/>
    </row>
    <row r="121" spans="1:12" x14ac:dyDescent="0.25">
      <c r="A121">
        <v>5700</v>
      </c>
      <c r="B121" s="150">
        <v>42854</v>
      </c>
      <c r="C121" s="10">
        <v>6400</v>
      </c>
      <c r="D121" s="233">
        <v>16.334199999999999</v>
      </c>
      <c r="E121" s="39">
        <v>14.87</v>
      </c>
      <c r="F121" s="39">
        <f t="shared" si="8"/>
        <v>-9370.8799999999992</v>
      </c>
      <c r="G121" s="39">
        <f t="shared" si="9"/>
        <v>104538.87999999999</v>
      </c>
      <c r="H121" s="222">
        <f t="shared" si="10"/>
        <v>-8.9640141543509938E-2</v>
      </c>
      <c r="I121" s="39"/>
      <c r="J121" s="39"/>
      <c r="K121" s="39">
        <v>5245</v>
      </c>
      <c r="L121" s="39"/>
    </row>
    <row r="122" spans="1:12" x14ac:dyDescent="0.25">
      <c r="A122">
        <v>5700</v>
      </c>
      <c r="B122" s="150">
        <v>42860</v>
      </c>
      <c r="C122" s="10">
        <v>6700</v>
      </c>
      <c r="D122" s="233">
        <v>16.225999999999999</v>
      </c>
      <c r="E122" s="39">
        <v>14.29</v>
      </c>
      <c r="F122" s="39">
        <f t="shared" si="8"/>
        <v>-12971.199999999999</v>
      </c>
      <c r="G122" s="39">
        <f t="shared" si="9"/>
        <v>108714.2</v>
      </c>
      <c r="H122" s="222">
        <f t="shared" si="10"/>
        <v>-0.11931468014298041</v>
      </c>
      <c r="I122" s="39"/>
      <c r="J122" s="39"/>
      <c r="K122" s="39">
        <v>1644</v>
      </c>
      <c r="L122" s="39"/>
    </row>
    <row r="123" spans="1:12" x14ac:dyDescent="0.25">
      <c r="A123">
        <v>6000</v>
      </c>
      <c r="B123" s="150">
        <v>42862</v>
      </c>
      <c r="C123" s="10">
        <v>6700</v>
      </c>
      <c r="D123" s="233">
        <v>16.225999999999999</v>
      </c>
      <c r="E123" s="39">
        <v>14.29</v>
      </c>
      <c r="F123" s="39">
        <f t="shared" si="8"/>
        <v>-12971.199999999999</v>
      </c>
      <c r="G123" s="39">
        <f t="shared" si="9"/>
        <v>108714.2</v>
      </c>
      <c r="H123" s="222">
        <f t="shared" si="10"/>
        <v>-0.11931468014298041</v>
      </c>
      <c r="I123" s="39"/>
      <c r="J123" s="39"/>
      <c r="K123" s="39">
        <v>1644</v>
      </c>
      <c r="L123" s="39"/>
    </row>
    <row r="124" spans="1:12" x14ac:dyDescent="0.25">
      <c r="A124">
        <v>5700</v>
      </c>
      <c r="B124" s="150">
        <v>42863</v>
      </c>
      <c r="C124" s="10">
        <v>6400</v>
      </c>
      <c r="D124" s="233">
        <v>16.318000000000001</v>
      </c>
      <c r="E124" s="39">
        <v>14.59</v>
      </c>
      <c r="F124" s="39">
        <f t="shared" si="8"/>
        <v>-11059.20000000001</v>
      </c>
      <c r="G124" s="39">
        <f t="shared" si="9"/>
        <v>104435.20000000001</v>
      </c>
      <c r="H124" s="222">
        <f t="shared" si="10"/>
        <v>-0.1058953303100871</v>
      </c>
      <c r="I124" s="39"/>
      <c r="J124" s="39"/>
      <c r="K124" s="39">
        <v>3559</v>
      </c>
      <c r="L124" s="39"/>
    </row>
    <row r="125" spans="1:12" x14ac:dyDescent="0.25">
      <c r="A125">
        <v>5700</v>
      </c>
      <c r="B125" s="150">
        <v>42866</v>
      </c>
      <c r="C125" s="10">
        <v>6400</v>
      </c>
      <c r="D125" s="233">
        <v>16.318000000000001</v>
      </c>
      <c r="E125" s="39">
        <v>14.48</v>
      </c>
      <c r="F125" s="39">
        <f t="shared" si="8"/>
        <v>-11763.200000000006</v>
      </c>
      <c r="G125" s="39">
        <f t="shared" si="9"/>
        <v>104435.20000000001</v>
      </c>
      <c r="H125" s="222">
        <f t="shared" si="10"/>
        <v>-0.11263635249417826</v>
      </c>
      <c r="I125" s="39"/>
      <c r="J125" s="39"/>
      <c r="K125" s="39">
        <v>2855</v>
      </c>
      <c r="L125" s="39"/>
    </row>
    <row r="126" spans="1:12" x14ac:dyDescent="0.25">
      <c r="A126">
        <v>5900</v>
      </c>
      <c r="B126" s="150">
        <v>42872</v>
      </c>
      <c r="C126" s="10">
        <v>6531</v>
      </c>
      <c r="D126" s="233">
        <v>16.274999999999999</v>
      </c>
      <c r="E126" s="39">
        <v>14.35</v>
      </c>
      <c r="F126" s="39">
        <f t="shared" si="8"/>
        <v>-12572.174999999994</v>
      </c>
      <c r="G126" s="39">
        <f t="shared" si="9"/>
        <v>106292.02499999999</v>
      </c>
      <c r="H126" s="222">
        <f t="shared" si="10"/>
        <v>-0.11827956989247307</v>
      </c>
      <c r="I126" s="39"/>
      <c r="J126" s="39"/>
      <c r="K126" s="39">
        <v>2044</v>
      </c>
      <c r="L126" s="39"/>
    </row>
    <row r="127" spans="1:12" x14ac:dyDescent="0.25">
      <c r="B127" s="150">
        <v>42873</v>
      </c>
      <c r="C127" s="10">
        <v>6400</v>
      </c>
      <c r="D127" s="233">
        <v>16.306000000000001</v>
      </c>
      <c r="E127" s="39">
        <v>14.35</v>
      </c>
      <c r="F127" s="39">
        <f t="shared" si="8"/>
        <v>-12518.400000000009</v>
      </c>
      <c r="G127" s="39">
        <f t="shared" si="9"/>
        <v>104358.40000000001</v>
      </c>
      <c r="H127" s="222">
        <f t="shared" si="10"/>
        <v>-0.11995584447442667</v>
      </c>
      <c r="I127" s="39"/>
      <c r="J127" s="39"/>
      <c r="K127" s="39">
        <v>2098</v>
      </c>
      <c r="L127" s="39"/>
    </row>
    <row r="128" spans="1:12" x14ac:dyDescent="0.25">
      <c r="A128">
        <v>5600</v>
      </c>
      <c r="B128" s="150">
        <v>42873</v>
      </c>
      <c r="C128" s="10">
        <v>6700</v>
      </c>
      <c r="D128" s="233">
        <v>16.21</v>
      </c>
      <c r="E128" s="39">
        <v>14.16</v>
      </c>
      <c r="F128" s="39">
        <f t="shared" si="8"/>
        <v>-13735.000000000005</v>
      </c>
      <c r="G128" s="39">
        <f t="shared" si="9"/>
        <v>108607</v>
      </c>
      <c r="H128" s="222">
        <f t="shared" si="10"/>
        <v>-0.1264651449722394</v>
      </c>
      <c r="I128" s="39"/>
      <c r="J128" s="39"/>
      <c r="K128" s="39">
        <v>1016</v>
      </c>
      <c r="L128" s="39"/>
    </row>
    <row r="129" spans="1:12" x14ac:dyDescent="0.25">
      <c r="A129">
        <v>5300</v>
      </c>
      <c r="B129" s="150">
        <v>42874</v>
      </c>
      <c r="C129" s="10">
        <v>6400</v>
      </c>
      <c r="D129" s="233">
        <v>16.286000000000001</v>
      </c>
      <c r="E129" s="39">
        <v>14.58</v>
      </c>
      <c r="F129" s="39">
        <f t="shared" si="8"/>
        <v>-10918.400000000009</v>
      </c>
      <c r="G129" s="39">
        <f t="shared" si="9"/>
        <v>104230.40000000001</v>
      </c>
      <c r="H129" s="222">
        <f t="shared" si="10"/>
        <v>-0.10475254820090883</v>
      </c>
      <c r="I129" s="39"/>
      <c r="J129" s="39"/>
      <c r="K129" s="39">
        <v>3664</v>
      </c>
      <c r="L129" s="39"/>
    </row>
    <row r="130" spans="1:12" x14ac:dyDescent="0.25">
      <c r="B130" s="150">
        <v>42880</v>
      </c>
      <c r="C130" s="10">
        <v>7000</v>
      </c>
      <c r="D130" s="233">
        <v>16.05</v>
      </c>
      <c r="E130" s="39">
        <v>13.5</v>
      </c>
      <c r="F130" s="39">
        <f t="shared" si="8"/>
        <v>-17850.000000000004</v>
      </c>
      <c r="G130" s="39">
        <f t="shared" si="9"/>
        <v>112350</v>
      </c>
      <c r="H130" s="222">
        <f t="shared" si="10"/>
        <v>-0.15887850467289724</v>
      </c>
      <c r="I130" s="39"/>
      <c r="J130" s="39"/>
      <c r="K130" s="39">
        <v>-3227</v>
      </c>
      <c r="L130" s="39"/>
    </row>
    <row r="131" spans="1:12" x14ac:dyDescent="0.25">
      <c r="A131">
        <v>5800</v>
      </c>
      <c r="B131" s="150">
        <v>42899</v>
      </c>
      <c r="C131" s="10">
        <v>8000</v>
      </c>
      <c r="D131" s="233">
        <v>15.624000000000001</v>
      </c>
      <c r="E131" s="39">
        <v>13.01</v>
      </c>
      <c r="F131" s="39">
        <f t="shared" si="8"/>
        <v>-20912.000000000007</v>
      </c>
      <c r="G131" s="39">
        <f t="shared" si="9"/>
        <v>124992</v>
      </c>
      <c r="H131" s="222">
        <f t="shared" si="10"/>
        <v>-0.16730670762928831</v>
      </c>
      <c r="I131" s="39"/>
      <c r="J131" s="39"/>
      <c r="K131" s="39">
        <v>-6296</v>
      </c>
      <c r="L131" s="39"/>
    </row>
    <row r="132" spans="1:12" x14ac:dyDescent="0.25">
      <c r="A132">
        <v>8000</v>
      </c>
      <c r="B132" s="150">
        <v>42939</v>
      </c>
      <c r="C132" s="10">
        <v>8000</v>
      </c>
      <c r="D132" s="233">
        <v>15.584</v>
      </c>
      <c r="E132" s="39">
        <v>11.85</v>
      </c>
      <c r="F132" s="39">
        <f t="shared" ref="F132:F142" si="11">C132*(E132-D132)</f>
        <v>-29872</v>
      </c>
      <c r="G132" s="39">
        <f t="shared" ref="G132:G142" si="12">D132*C132</f>
        <v>124672</v>
      </c>
      <c r="H132" s="222">
        <f t="shared" ref="H132:H142" si="13">(E132-D132)/D132</f>
        <v>-0.2396047227926078</v>
      </c>
      <c r="I132" s="39"/>
      <c r="J132" s="39"/>
      <c r="K132" s="39">
        <v>-15256</v>
      </c>
      <c r="L132" s="39"/>
    </row>
    <row r="133" spans="1:12" x14ac:dyDescent="0.25">
      <c r="A133">
        <v>8000</v>
      </c>
      <c r="B133" s="150">
        <v>42943</v>
      </c>
      <c r="C133" s="10">
        <v>8200</v>
      </c>
      <c r="D133" s="233">
        <v>15.5</v>
      </c>
      <c r="E133" s="39">
        <v>12.23</v>
      </c>
      <c r="F133" s="39">
        <f t="shared" si="11"/>
        <v>-26813.999999999996</v>
      </c>
      <c r="G133" s="39">
        <f t="shared" si="12"/>
        <v>127100</v>
      </c>
      <c r="H133" s="222">
        <f t="shared" si="13"/>
        <v>-0.21096774193548384</v>
      </c>
      <c r="I133" s="39"/>
      <c r="J133" s="39"/>
      <c r="K133" s="39">
        <v>-12200</v>
      </c>
      <c r="L133" s="39"/>
    </row>
    <row r="134" spans="1:12" x14ac:dyDescent="0.25">
      <c r="B134" s="150">
        <v>42944</v>
      </c>
      <c r="C134" s="10">
        <v>8000</v>
      </c>
      <c r="D134" s="233">
        <v>15.5733</v>
      </c>
      <c r="E134" s="39">
        <v>12.36</v>
      </c>
      <c r="F134" s="39">
        <f t="shared" si="11"/>
        <v>-25706.400000000001</v>
      </c>
      <c r="G134" s="39">
        <f t="shared" si="12"/>
        <v>124586.4</v>
      </c>
      <c r="H134" s="222">
        <f t="shared" si="13"/>
        <v>-0.20633391766677586</v>
      </c>
      <c r="I134" s="39"/>
      <c r="J134" s="39"/>
      <c r="K134" s="39">
        <v>-11091</v>
      </c>
      <c r="L134" s="39"/>
    </row>
    <row r="135" spans="1:12" x14ac:dyDescent="0.25">
      <c r="A135">
        <v>7400</v>
      </c>
      <c r="B135" s="150">
        <v>42950</v>
      </c>
      <c r="C135" s="10">
        <v>8000</v>
      </c>
      <c r="D135" s="233">
        <v>15.516999999999999</v>
      </c>
      <c r="E135" s="39">
        <v>12.51</v>
      </c>
      <c r="F135" s="39">
        <f t="shared" si="11"/>
        <v>-24055.999999999996</v>
      </c>
      <c r="G135" s="39">
        <f t="shared" si="12"/>
        <v>124136</v>
      </c>
      <c r="H135" s="222">
        <f t="shared" si="13"/>
        <v>-0.19378745891602756</v>
      </c>
      <c r="I135" s="39"/>
      <c r="J135" s="39"/>
      <c r="K135" s="39">
        <v>-9442</v>
      </c>
      <c r="L135" s="39"/>
    </row>
    <row r="136" spans="1:12" x14ac:dyDescent="0.25">
      <c r="A136">
        <v>7200</v>
      </c>
      <c r="B136" s="150">
        <v>42953</v>
      </c>
      <c r="C136" s="10">
        <v>8000</v>
      </c>
      <c r="D136" s="233">
        <v>15.516999999999999</v>
      </c>
      <c r="E136" s="39">
        <v>12.9</v>
      </c>
      <c r="F136" s="39">
        <f t="shared" si="11"/>
        <v>-20935.999999999993</v>
      </c>
      <c r="G136" s="39">
        <f t="shared" si="12"/>
        <v>124136</v>
      </c>
      <c r="H136" s="222">
        <f t="shared" si="13"/>
        <v>-0.16865373461364949</v>
      </c>
      <c r="I136" s="39"/>
      <c r="J136" s="39"/>
      <c r="K136" s="39">
        <v>-6322</v>
      </c>
      <c r="L136" s="39"/>
    </row>
    <row r="137" spans="1:12" x14ac:dyDescent="0.25">
      <c r="A137">
        <v>7200</v>
      </c>
      <c r="B137" s="150">
        <v>42967</v>
      </c>
      <c r="C137" s="10">
        <v>8900</v>
      </c>
      <c r="D137" s="233">
        <v>15.09</v>
      </c>
      <c r="E137" s="39">
        <v>10.87</v>
      </c>
      <c r="F137" s="39">
        <f t="shared" si="11"/>
        <v>-37558.000000000007</v>
      </c>
      <c r="G137" s="39">
        <f t="shared" si="12"/>
        <v>134301</v>
      </c>
      <c r="H137" s="222">
        <f t="shared" si="13"/>
        <v>-0.27965540092776675</v>
      </c>
      <c r="I137" s="39"/>
      <c r="J137" s="39"/>
      <c r="K137" s="39">
        <v>-22952</v>
      </c>
      <c r="L137" s="39"/>
    </row>
    <row r="138" spans="1:12" x14ac:dyDescent="0.25">
      <c r="A138">
        <v>7100</v>
      </c>
      <c r="B138" s="150">
        <v>42978</v>
      </c>
      <c r="C138" s="10">
        <v>8600</v>
      </c>
      <c r="D138" s="233">
        <v>15.226800000000001</v>
      </c>
      <c r="E138" s="39">
        <v>11.27</v>
      </c>
      <c r="F138" s="39">
        <f t="shared" si="11"/>
        <v>-34028.48000000001</v>
      </c>
      <c r="G138" s="39">
        <f t="shared" si="12"/>
        <v>130950.48000000001</v>
      </c>
      <c r="H138" s="222">
        <f t="shared" si="13"/>
        <v>-0.25985761946042513</v>
      </c>
      <c r="I138" s="39"/>
      <c r="J138" s="39"/>
      <c r="K138" s="39">
        <v>-19413</v>
      </c>
      <c r="L138" s="39"/>
    </row>
    <row r="139" spans="1:12" x14ac:dyDescent="0.25">
      <c r="A139">
        <v>7300</v>
      </c>
      <c r="B139" s="150">
        <v>42984</v>
      </c>
      <c r="C139" s="10">
        <v>8200</v>
      </c>
      <c r="D139" s="233">
        <v>15.403</v>
      </c>
      <c r="E139" s="39">
        <v>11.6</v>
      </c>
      <c r="F139" s="39">
        <f t="shared" si="11"/>
        <v>-31184.600000000006</v>
      </c>
      <c r="G139" s="39">
        <f t="shared" si="12"/>
        <v>126304.6</v>
      </c>
      <c r="H139" s="222">
        <f t="shared" si="13"/>
        <v>-0.24689995455430766</v>
      </c>
      <c r="I139" s="39"/>
      <c r="J139" s="39"/>
      <c r="K139" s="39">
        <v>-17305</v>
      </c>
      <c r="L139" s="39"/>
    </row>
    <row r="140" spans="1:12" ht="15" customHeight="1" x14ac:dyDescent="0.25">
      <c r="A140">
        <v>7300</v>
      </c>
      <c r="B140" s="150">
        <v>42986</v>
      </c>
      <c r="C140" s="10">
        <v>8600</v>
      </c>
      <c r="D140" s="233">
        <v>15.202999999999999</v>
      </c>
      <c r="E140" s="39">
        <v>11.11</v>
      </c>
      <c r="F140" s="39">
        <f t="shared" si="11"/>
        <v>-35199.800000000003</v>
      </c>
      <c r="G140" s="39">
        <f t="shared" si="12"/>
        <v>130745.79999999999</v>
      </c>
      <c r="H140" s="222">
        <f t="shared" si="13"/>
        <v>-0.26922317963559822</v>
      </c>
      <c r="I140" s="39"/>
      <c r="J140" s="39"/>
      <c r="K140" s="39">
        <v>-20585</v>
      </c>
      <c r="L140" s="39"/>
    </row>
    <row r="141" spans="1:12" x14ac:dyDescent="0.25">
      <c r="A141">
        <v>6900</v>
      </c>
      <c r="B141" s="150">
        <v>42987</v>
      </c>
      <c r="C141" s="10">
        <v>8200</v>
      </c>
      <c r="D141" s="233">
        <v>15.3935</v>
      </c>
      <c r="E141" s="39">
        <v>11.3</v>
      </c>
      <c r="F141" s="39">
        <f t="shared" si="11"/>
        <v>-33566.69999999999</v>
      </c>
      <c r="G141" s="39">
        <f t="shared" si="12"/>
        <v>126226.7</v>
      </c>
      <c r="H141" s="222">
        <f t="shared" si="13"/>
        <v>-0.26592392893104227</v>
      </c>
      <c r="I141" s="39"/>
      <c r="J141" s="39"/>
      <c r="K141" s="39">
        <v>-18951</v>
      </c>
      <c r="L141" s="39"/>
    </row>
    <row r="142" spans="1:12" x14ac:dyDescent="0.25">
      <c r="A142">
        <v>7500</v>
      </c>
      <c r="B142" s="150">
        <v>42996</v>
      </c>
      <c r="C142" s="10">
        <v>8000</v>
      </c>
      <c r="D142" s="233">
        <v>15.43</v>
      </c>
      <c r="E142" s="39">
        <v>12.02</v>
      </c>
      <c r="F142" s="39">
        <f t="shared" si="11"/>
        <v>-27280</v>
      </c>
      <c r="G142" s="39">
        <f t="shared" si="12"/>
        <v>123440</v>
      </c>
      <c r="H142" s="222">
        <f t="shared" si="13"/>
        <v>-0.22099805573558004</v>
      </c>
      <c r="I142" s="39">
        <v>15</v>
      </c>
      <c r="J142" s="39"/>
      <c r="K142" s="39">
        <v>-12635</v>
      </c>
      <c r="L142" s="39"/>
    </row>
    <row r="143" spans="1:12" x14ac:dyDescent="0.25">
      <c r="A143">
        <v>7600</v>
      </c>
      <c r="B143" s="150">
        <v>42999</v>
      </c>
      <c r="C143" s="421">
        <v>8000</v>
      </c>
      <c r="D143" s="781">
        <v>15.43</v>
      </c>
      <c r="E143" s="39">
        <v>12.73</v>
      </c>
      <c r="F143" s="39">
        <f t="shared" ref="F143:F149" si="14">C143*(E143-D143)</f>
        <v>-21599.999999999993</v>
      </c>
      <c r="G143" s="39">
        <f t="shared" ref="G143:G149" si="15">D143*C143</f>
        <v>123440</v>
      </c>
      <c r="H143" s="222">
        <f t="shared" ref="H143:H149" si="16">(E143-D143)/D143</f>
        <v>-0.17498379779650028</v>
      </c>
      <c r="I143" s="39">
        <v>15</v>
      </c>
      <c r="J143" s="39"/>
      <c r="K143" s="39">
        <v>-6955</v>
      </c>
      <c r="L143" s="39"/>
    </row>
    <row r="144" spans="1:12" x14ac:dyDescent="0.25">
      <c r="A144">
        <v>7100</v>
      </c>
      <c r="B144" s="150">
        <v>43000</v>
      </c>
      <c r="C144" s="10">
        <v>7500</v>
      </c>
      <c r="D144" s="233">
        <v>15.6</v>
      </c>
      <c r="E144" s="39">
        <v>12.83</v>
      </c>
      <c r="F144" s="39">
        <f t="shared" si="14"/>
        <v>-20774.999999999996</v>
      </c>
      <c r="G144" s="39">
        <f t="shared" si="15"/>
        <v>117000</v>
      </c>
      <c r="H144" s="222">
        <f t="shared" si="16"/>
        <v>-0.17756410256410254</v>
      </c>
      <c r="I144" s="39"/>
      <c r="J144" s="39"/>
      <c r="K144" s="39"/>
      <c r="L144" s="39"/>
    </row>
    <row r="145" spans="1:12" x14ac:dyDescent="0.25">
      <c r="A145">
        <v>6600</v>
      </c>
      <c r="B145" s="150">
        <v>43000</v>
      </c>
      <c r="C145" s="10">
        <v>7000</v>
      </c>
      <c r="D145" s="233">
        <v>15.788</v>
      </c>
      <c r="E145" s="39">
        <v>12.79</v>
      </c>
      <c r="F145" s="39">
        <f t="shared" si="14"/>
        <v>-20986.000000000007</v>
      </c>
      <c r="G145" s="39">
        <f t="shared" si="15"/>
        <v>110516</v>
      </c>
      <c r="H145" s="222">
        <f t="shared" si="16"/>
        <v>-0.1898910564986066</v>
      </c>
      <c r="I145" s="39">
        <v>15.5</v>
      </c>
      <c r="J145" s="39"/>
      <c r="K145" s="39">
        <v>-6370</v>
      </c>
      <c r="L145" s="39"/>
    </row>
    <row r="146" spans="1:12" x14ac:dyDescent="0.25">
      <c r="A146">
        <v>6300</v>
      </c>
      <c r="B146" s="150">
        <v>43004</v>
      </c>
      <c r="C146" s="10">
        <v>6700</v>
      </c>
      <c r="D146" s="233">
        <v>15.903</v>
      </c>
      <c r="E146" s="39">
        <v>13.4</v>
      </c>
      <c r="F146" s="39">
        <f t="shared" si="14"/>
        <v>-16770.100000000002</v>
      </c>
      <c r="G146" s="39">
        <f t="shared" si="15"/>
        <v>106550.1</v>
      </c>
      <c r="H146" s="222">
        <f t="shared" si="16"/>
        <v>-0.15739168710306231</v>
      </c>
      <c r="I146" s="39">
        <v>15.5</v>
      </c>
      <c r="J146" s="39"/>
      <c r="K146" s="39">
        <v>-2155</v>
      </c>
      <c r="L146" s="39"/>
    </row>
    <row r="147" spans="1:12" x14ac:dyDescent="0.25">
      <c r="A147">
        <v>6000</v>
      </c>
      <c r="B147" s="150">
        <v>43005</v>
      </c>
      <c r="C147" s="10">
        <v>6400</v>
      </c>
      <c r="D147" s="233">
        <v>16.003</v>
      </c>
      <c r="E147" s="39">
        <v>13.73</v>
      </c>
      <c r="F147" s="39">
        <f t="shared" si="14"/>
        <v>-14547.199999999997</v>
      </c>
      <c r="G147" s="39">
        <f t="shared" si="15"/>
        <v>102419.2</v>
      </c>
      <c r="H147" s="222">
        <f t="shared" si="16"/>
        <v>-0.14203586827469847</v>
      </c>
      <c r="I147" s="39"/>
      <c r="J147" s="39"/>
      <c r="K147" s="39">
        <v>71</v>
      </c>
      <c r="L147" s="39"/>
    </row>
    <row r="148" spans="1:12" x14ac:dyDescent="0.25">
      <c r="A148">
        <v>6000</v>
      </c>
      <c r="B148" s="150">
        <v>43006</v>
      </c>
      <c r="C148" s="10">
        <v>6700</v>
      </c>
      <c r="D148" s="233">
        <v>15.8888</v>
      </c>
      <c r="E148" s="39">
        <v>13.53</v>
      </c>
      <c r="F148" s="39">
        <f t="shared" si="14"/>
        <v>-15803.960000000003</v>
      </c>
      <c r="G148" s="39">
        <f t="shared" si="15"/>
        <v>106454.95999999999</v>
      </c>
      <c r="H148" s="222">
        <f t="shared" si="16"/>
        <v>-0.14845677458335435</v>
      </c>
      <c r="I148" s="39">
        <v>15.5</v>
      </c>
      <c r="J148" s="39"/>
      <c r="K148" s="39">
        <v>-1188</v>
      </c>
      <c r="L148" s="39"/>
    </row>
    <row r="149" spans="1:12" x14ac:dyDescent="0.25">
      <c r="A149">
        <v>5700</v>
      </c>
      <c r="B149" s="150">
        <v>43011</v>
      </c>
      <c r="C149" s="10">
        <v>6400</v>
      </c>
      <c r="D149" s="233">
        <v>15.99</v>
      </c>
      <c r="E149" s="39">
        <v>13.76</v>
      </c>
      <c r="F149" s="39">
        <f t="shared" si="14"/>
        <v>-14272.000000000004</v>
      </c>
      <c r="G149" s="39">
        <f t="shared" si="15"/>
        <v>102336</v>
      </c>
      <c r="H149" s="222">
        <f t="shared" si="16"/>
        <v>-0.13946216385240778</v>
      </c>
      <c r="I149" s="39"/>
      <c r="J149" s="39"/>
      <c r="K149" s="39">
        <v>341</v>
      </c>
      <c r="L149" s="39"/>
    </row>
    <row r="150" spans="1:12" x14ac:dyDescent="0.25">
      <c r="A150">
        <v>6100</v>
      </c>
      <c r="B150" s="150">
        <v>43023</v>
      </c>
      <c r="C150" s="10">
        <v>6400</v>
      </c>
      <c r="D150" s="233">
        <v>15.99</v>
      </c>
      <c r="E150" s="39">
        <v>13.75</v>
      </c>
      <c r="F150" s="39">
        <f>C150*(E150-D150)</f>
        <v>-14336.000000000002</v>
      </c>
      <c r="G150" s="39">
        <f>D150*C150</f>
        <v>102336</v>
      </c>
      <c r="H150" s="222">
        <f>(E150-D150)/D150</f>
        <v>-0.14008755472170106</v>
      </c>
      <c r="I150" s="39">
        <v>15.5</v>
      </c>
      <c r="J150" s="39">
        <v>69.28</v>
      </c>
      <c r="K150" s="39">
        <v>277</v>
      </c>
      <c r="L150" s="39"/>
    </row>
    <row r="151" spans="1:12" x14ac:dyDescent="0.25">
      <c r="B151" s="150">
        <v>43028</v>
      </c>
      <c r="C151" s="10">
        <v>6400</v>
      </c>
      <c r="D151" s="233">
        <v>15.99</v>
      </c>
      <c r="E151" s="39">
        <v>13.93</v>
      </c>
      <c r="F151" s="39">
        <f>C151*(E151-D151)</f>
        <v>-13184.000000000004</v>
      </c>
      <c r="G151" s="39">
        <f>D151*C151</f>
        <v>102336</v>
      </c>
      <c r="H151" s="222">
        <f>(E151-D151)/D151</f>
        <v>-0.12883051907442156</v>
      </c>
      <c r="I151" s="39"/>
      <c r="J151" s="39"/>
      <c r="K151" s="39">
        <v>1429</v>
      </c>
      <c r="L151" s="39"/>
    </row>
    <row r="152" spans="1:12" x14ac:dyDescent="0.25">
      <c r="A152">
        <v>6100</v>
      </c>
      <c r="B152" s="150">
        <v>43031</v>
      </c>
      <c r="C152" s="10">
        <v>6400</v>
      </c>
      <c r="D152" s="233">
        <v>15.99</v>
      </c>
      <c r="E152" s="39">
        <v>13.63</v>
      </c>
      <c r="F152" s="39">
        <f t="shared" ref="F152:F164" si="17">C152*(E152-D152)</f>
        <v>-15103.999999999996</v>
      </c>
      <c r="G152" s="39">
        <f t="shared" ref="G152:G164" si="18">D152*C152</f>
        <v>102336</v>
      </c>
      <c r="H152" s="222">
        <f t="shared" ref="H152:H164" si="19">(E152-D152)/D152</f>
        <v>-0.14759224515322072</v>
      </c>
      <c r="I152" s="39"/>
      <c r="J152" s="39"/>
      <c r="K152" s="39">
        <v>-491</v>
      </c>
      <c r="L152" s="39"/>
    </row>
    <row r="153" spans="1:12" x14ac:dyDescent="0.25">
      <c r="A153">
        <v>6000</v>
      </c>
      <c r="B153" s="150">
        <v>43040</v>
      </c>
      <c r="C153" s="425">
        <v>6000</v>
      </c>
      <c r="D153" s="642">
        <v>16.091100000000001</v>
      </c>
      <c r="E153" s="39">
        <v>14.87</v>
      </c>
      <c r="F153" s="39">
        <f t="shared" si="17"/>
        <v>-7326.6000000000095</v>
      </c>
      <c r="G153" s="39">
        <f t="shared" si="18"/>
        <v>96546.6</v>
      </c>
      <c r="H153" s="222">
        <f t="shared" si="19"/>
        <v>-7.5886670271143777E-2</v>
      </c>
      <c r="I153" s="193" t="s">
        <v>757</v>
      </c>
      <c r="J153" s="39"/>
      <c r="K153" s="39">
        <v>7289</v>
      </c>
      <c r="L153" s="39"/>
    </row>
    <row r="154" spans="1:12" ht="15" customHeight="1" x14ac:dyDescent="0.25">
      <c r="A154">
        <v>5700</v>
      </c>
      <c r="B154" s="150">
        <v>43042</v>
      </c>
      <c r="C154" s="10">
        <v>5700</v>
      </c>
      <c r="D154" s="233">
        <v>16.117999999999999</v>
      </c>
      <c r="E154" s="39">
        <v>15.58</v>
      </c>
      <c r="F154" s="39">
        <f t="shared" si="17"/>
        <v>-3066.5999999999913</v>
      </c>
      <c r="G154" s="39">
        <f t="shared" si="18"/>
        <v>91872.599999999991</v>
      </c>
      <c r="H154" s="222">
        <f t="shared" si="19"/>
        <v>-3.337883112048632E-2</v>
      </c>
      <c r="I154" s="39"/>
      <c r="J154" s="39"/>
      <c r="K154" s="39">
        <v>11549</v>
      </c>
      <c r="L154" s="39"/>
    </row>
    <row r="155" spans="1:12" x14ac:dyDescent="0.25">
      <c r="A155">
        <v>5600</v>
      </c>
      <c r="B155" s="150">
        <v>43045</v>
      </c>
      <c r="C155" s="10">
        <v>5600</v>
      </c>
      <c r="D155" s="233">
        <v>16.114000000000001</v>
      </c>
      <c r="E155" s="39">
        <v>16.329999999999998</v>
      </c>
      <c r="F155" s="39">
        <f t="shared" si="17"/>
        <v>1209.5999999999863</v>
      </c>
      <c r="G155" s="39">
        <f t="shared" si="18"/>
        <v>90238.400000000009</v>
      </c>
      <c r="H155" s="222">
        <f t="shared" si="19"/>
        <v>1.3404492987464163E-2</v>
      </c>
      <c r="I155" s="39"/>
      <c r="J155" s="39"/>
      <c r="K155" s="39">
        <v>15824</v>
      </c>
      <c r="L155" s="39"/>
    </row>
    <row r="156" spans="1:12" x14ac:dyDescent="0.25">
      <c r="A156">
        <v>5600</v>
      </c>
      <c r="B156" s="150">
        <v>43047</v>
      </c>
      <c r="C156" s="10">
        <v>5700</v>
      </c>
      <c r="D156" s="233">
        <v>16.1084</v>
      </c>
      <c r="E156" s="39">
        <v>15.8</v>
      </c>
      <c r="F156" s="39">
        <f t="shared" si="17"/>
        <v>-1757.8799999999937</v>
      </c>
      <c r="G156" s="39">
        <f t="shared" si="18"/>
        <v>91817.88</v>
      </c>
      <c r="H156" s="222">
        <f t="shared" si="19"/>
        <v>-1.9145290655806842E-2</v>
      </c>
      <c r="I156" s="39"/>
      <c r="J156" s="39"/>
      <c r="K156" s="39">
        <v>12858</v>
      </c>
      <c r="L156" s="39"/>
    </row>
    <row r="157" spans="1:12" x14ac:dyDescent="0.25">
      <c r="A157">
        <v>5600</v>
      </c>
      <c r="B157" s="150">
        <v>43053</v>
      </c>
      <c r="C157" s="425">
        <v>6000</v>
      </c>
      <c r="D157" s="642">
        <v>16.059999999999999</v>
      </c>
      <c r="E157" s="39">
        <v>14.84</v>
      </c>
      <c r="F157" s="39">
        <f t="shared" si="17"/>
        <v>-7319.9999999999927</v>
      </c>
      <c r="G157" s="39">
        <f t="shared" si="18"/>
        <v>96359.999999999985</v>
      </c>
      <c r="H157" s="222">
        <f t="shared" si="19"/>
        <v>-7.5965130759651237E-2</v>
      </c>
      <c r="I157" s="39">
        <v>15.75</v>
      </c>
      <c r="J157" s="39">
        <v>52.87</v>
      </c>
      <c r="K157" s="39">
        <v>7308</v>
      </c>
      <c r="L157" s="39"/>
    </row>
    <row r="158" spans="1:12" x14ac:dyDescent="0.25">
      <c r="A158">
        <v>5600</v>
      </c>
      <c r="B158" s="150">
        <v>43060</v>
      </c>
      <c r="C158" s="10">
        <v>6400</v>
      </c>
      <c r="D158" s="233">
        <v>15.96</v>
      </c>
      <c r="E158" s="39">
        <v>14.52</v>
      </c>
      <c r="F158" s="39">
        <f t="shared" si="17"/>
        <v>-9216.0000000000073</v>
      </c>
      <c r="G158" s="39">
        <f t="shared" si="18"/>
        <v>102144</v>
      </c>
      <c r="H158" s="222">
        <f t="shared" si="19"/>
        <v>-9.0225563909774514E-2</v>
      </c>
      <c r="I158" s="39"/>
      <c r="J158" s="39"/>
      <c r="K158" s="39">
        <v>5398</v>
      </c>
      <c r="L158" s="39"/>
    </row>
    <row r="159" spans="1:12" x14ac:dyDescent="0.25">
      <c r="B159" s="150">
        <v>43068</v>
      </c>
      <c r="C159" s="10">
        <v>6000</v>
      </c>
      <c r="D159" s="233">
        <v>16.010999999999999</v>
      </c>
      <c r="E159" s="39">
        <v>14.78</v>
      </c>
      <c r="F159" s="39">
        <f t="shared" si="17"/>
        <v>-7385.9999999999991</v>
      </c>
      <c r="G159" s="39">
        <f t="shared" si="18"/>
        <v>96066</v>
      </c>
      <c r="H159" s="222">
        <f t="shared" si="19"/>
        <v>-7.6884641808756482E-2</v>
      </c>
      <c r="I159" s="39"/>
      <c r="J159" s="39"/>
      <c r="K159" s="39"/>
      <c r="L159" s="39"/>
    </row>
    <row r="160" spans="1:12" x14ac:dyDescent="0.25">
      <c r="B160" s="150">
        <v>43069</v>
      </c>
      <c r="C160" s="10">
        <v>6100</v>
      </c>
      <c r="D160" s="233">
        <v>15.989000000000001</v>
      </c>
      <c r="E160" s="39">
        <v>14.69</v>
      </c>
      <c r="F160" s="39">
        <f t="shared" si="17"/>
        <v>-7923.9000000000078</v>
      </c>
      <c r="G160" s="39">
        <f t="shared" si="18"/>
        <v>97532.900000000009</v>
      </c>
      <c r="H160" s="222">
        <f t="shared" si="19"/>
        <v>-8.1243354806429496E-2</v>
      </c>
      <c r="I160" s="39"/>
      <c r="J160" s="39"/>
      <c r="K160" s="39"/>
      <c r="L160" s="39"/>
    </row>
    <row r="161" spans="1:22" x14ac:dyDescent="0.25">
      <c r="A161">
        <v>5100</v>
      </c>
      <c r="B161" s="150">
        <v>43070</v>
      </c>
      <c r="C161" s="425">
        <v>6000</v>
      </c>
      <c r="D161" s="642">
        <v>16.002800000000001</v>
      </c>
      <c r="E161" s="39">
        <v>15.08</v>
      </c>
      <c r="F161" s="39">
        <f t="shared" si="17"/>
        <v>-5536.8000000000029</v>
      </c>
      <c r="G161" s="39">
        <f t="shared" si="18"/>
        <v>96016.8</v>
      </c>
      <c r="H161" s="222">
        <f t="shared" si="19"/>
        <v>-5.7664908640987854E-2</v>
      </c>
      <c r="I161" s="39"/>
      <c r="J161" s="39"/>
      <c r="K161" s="39">
        <v>9079</v>
      </c>
      <c r="L161" s="39"/>
    </row>
    <row r="162" spans="1:22" x14ac:dyDescent="0.25">
      <c r="A162">
        <v>5200</v>
      </c>
      <c r="B162" s="150">
        <v>43081</v>
      </c>
      <c r="C162" s="425">
        <v>6000</v>
      </c>
      <c r="D162" s="642">
        <v>15.955</v>
      </c>
      <c r="E162" s="39">
        <v>15.18</v>
      </c>
      <c r="F162" s="39">
        <f t="shared" si="17"/>
        <v>-4650.0000000000018</v>
      </c>
      <c r="G162" s="39">
        <f t="shared" si="18"/>
        <v>95730</v>
      </c>
      <c r="H162" s="222">
        <f t="shared" si="19"/>
        <v>-4.8574114697586983E-2</v>
      </c>
      <c r="I162" s="193" t="s">
        <v>764</v>
      </c>
      <c r="J162" s="39">
        <v>56.3</v>
      </c>
      <c r="K162" s="39">
        <v>9964</v>
      </c>
      <c r="L162" s="39"/>
    </row>
    <row r="163" spans="1:22" x14ac:dyDescent="0.25">
      <c r="B163" s="150">
        <v>43087</v>
      </c>
      <c r="C163" s="10">
        <v>5800</v>
      </c>
      <c r="D163" s="233">
        <v>15.977</v>
      </c>
      <c r="E163" s="39">
        <v>15.33</v>
      </c>
      <c r="F163" s="39">
        <f t="shared" si="17"/>
        <v>-3752.6000000000013</v>
      </c>
      <c r="G163" s="39">
        <f t="shared" si="18"/>
        <v>92666.6</v>
      </c>
      <c r="H163" s="222">
        <f t="shared" si="19"/>
        <v>-4.0495712586843605E-2</v>
      </c>
      <c r="I163" s="39"/>
      <c r="J163" s="39"/>
      <c r="K163" s="39">
        <v>10864</v>
      </c>
      <c r="L163" s="39"/>
    </row>
    <row r="164" spans="1:22" x14ac:dyDescent="0.25">
      <c r="A164">
        <v>5200</v>
      </c>
      <c r="B164" s="150">
        <v>43087</v>
      </c>
      <c r="C164" s="10">
        <v>5700</v>
      </c>
      <c r="D164" s="233">
        <v>15.986000000000001</v>
      </c>
      <c r="E164" s="39">
        <v>15.44</v>
      </c>
      <c r="F164" s="39">
        <f t="shared" si="17"/>
        <v>-3112.2000000000066</v>
      </c>
      <c r="G164" s="39">
        <f t="shared" si="18"/>
        <v>91120.2</v>
      </c>
      <c r="H164" s="222">
        <f t="shared" si="19"/>
        <v>-3.4154885524834304E-2</v>
      </c>
      <c r="I164" s="39"/>
      <c r="J164" s="39"/>
      <c r="K164" s="39">
        <v>11502</v>
      </c>
      <c r="L164" s="39"/>
    </row>
    <row r="165" spans="1:22" x14ac:dyDescent="0.25">
      <c r="A165">
        <v>5100</v>
      </c>
      <c r="B165" s="150">
        <v>43088</v>
      </c>
      <c r="C165" s="10">
        <v>5600</v>
      </c>
      <c r="D165" s="233">
        <v>15.986000000000001</v>
      </c>
      <c r="E165" s="39">
        <v>16.02</v>
      </c>
      <c r="F165" s="39">
        <f t="shared" ref="F165:F173" si="20">C165*(E165-D165)</f>
        <v>190.39999999999395</v>
      </c>
      <c r="G165" s="39">
        <f t="shared" ref="G165:G173" si="21">D165*C165</f>
        <v>89521.600000000006</v>
      </c>
      <c r="H165" s="222">
        <f t="shared" ref="H165:H173" si="22">(E165-D165)/D165</f>
        <v>2.1268610033778881E-3</v>
      </c>
      <c r="I165" s="39"/>
      <c r="J165" s="39">
        <v>66</v>
      </c>
      <c r="K165" s="39">
        <v>14803</v>
      </c>
      <c r="L165" s="39"/>
    </row>
    <row r="166" spans="1:22" x14ac:dyDescent="0.25">
      <c r="B166" s="150">
        <v>43089</v>
      </c>
      <c r="C166" s="10">
        <v>5500</v>
      </c>
      <c r="D166" s="233">
        <v>15.981</v>
      </c>
      <c r="E166" s="39">
        <v>16.32</v>
      </c>
      <c r="F166" s="39">
        <f t="shared" si="20"/>
        <v>1864.5000000000023</v>
      </c>
      <c r="G166" s="39">
        <f t="shared" si="21"/>
        <v>87895.5</v>
      </c>
      <c r="H166" s="222">
        <f t="shared" si="22"/>
        <v>2.1212690069457505E-2</v>
      </c>
      <c r="I166" s="39"/>
      <c r="J166" s="39"/>
      <c r="K166" s="39">
        <v>16478</v>
      </c>
      <c r="L166" s="39"/>
    </row>
    <row r="167" spans="1:22" x14ac:dyDescent="0.25">
      <c r="B167" s="150">
        <v>43090</v>
      </c>
      <c r="C167" s="10">
        <v>5000</v>
      </c>
      <c r="D167" s="233">
        <v>15.917999999999999</v>
      </c>
      <c r="E167" s="39">
        <v>16.8</v>
      </c>
      <c r="F167" s="39">
        <f t="shared" si="20"/>
        <v>4410.0000000000073</v>
      </c>
      <c r="G167" s="39">
        <f t="shared" si="21"/>
        <v>79590</v>
      </c>
      <c r="H167" s="222">
        <f t="shared" si="22"/>
        <v>5.5408970976253392E-2</v>
      </c>
      <c r="I167" s="39"/>
      <c r="J167" s="39"/>
      <c r="K167" s="39">
        <v>18624</v>
      </c>
      <c r="L167" s="39"/>
    </row>
    <row r="168" spans="1:22" x14ac:dyDescent="0.25">
      <c r="A168">
        <v>4500</v>
      </c>
      <c r="B168" s="150">
        <v>43090</v>
      </c>
      <c r="C168" s="10">
        <v>4800</v>
      </c>
      <c r="D168" s="233">
        <v>15.877000000000001</v>
      </c>
      <c r="E168" s="39">
        <v>17.05</v>
      </c>
      <c r="F168" s="39">
        <f t="shared" si="20"/>
        <v>5630.4000000000005</v>
      </c>
      <c r="G168" s="39">
        <f t="shared" si="21"/>
        <v>76209.600000000006</v>
      </c>
      <c r="H168" s="222">
        <f t="shared" si="22"/>
        <v>7.3880456005542605E-2</v>
      </c>
      <c r="I168" s="39"/>
      <c r="J168" s="39"/>
      <c r="K168" s="39">
        <v>20244</v>
      </c>
      <c r="L168" s="39"/>
    </row>
    <row r="169" spans="1:22" x14ac:dyDescent="0.25">
      <c r="A169">
        <v>4700</v>
      </c>
      <c r="B169" s="150">
        <v>43096</v>
      </c>
      <c r="C169" s="10">
        <v>4800</v>
      </c>
      <c r="D169" s="233">
        <v>15.877000000000001</v>
      </c>
      <c r="E169" s="39">
        <v>17.010000000000002</v>
      </c>
      <c r="F169" s="39">
        <f t="shared" si="20"/>
        <v>5438.4000000000042</v>
      </c>
      <c r="G169" s="39">
        <f t="shared" si="21"/>
        <v>76209.600000000006</v>
      </c>
      <c r="H169" s="222">
        <f t="shared" si="22"/>
        <v>7.136108836681998E-2</v>
      </c>
      <c r="I169" s="39"/>
      <c r="J169" s="39">
        <v>69.88</v>
      </c>
      <c r="K169" s="39">
        <v>20245</v>
      </c>
      <c r="L169" s="39"/>
      <c r="V169" s="785"/>
    </row>
    <row r="170" spans="1:22" x14ac:dyDescent="0.25">
      <c r="A170">
        <v>4700</v>
      </c>
      <c r="B170" s="150">
        <v>43102</v>
      </c>
      <c r="C170" s="10">
        <v>4700</v>
      </c>
      <c r="D170" s="233">
        <v>15.84563</v>
      </c>
      <c r="E170" s="39">
        <v>17.38</v>
      </c>
      <c r="F170" s="39">
        <f t="shared" si="20"/>
        <v>7211.5389999999961</v>
      </c>
      <c r="G170" s="39">
        <f t="shared" si="21"/>
        <v>74474.460999999996</v>
      </c>
      <c r="H170" s="222">
        <f t="shared" si="22"/>
        <v>9.6832375866406015E-2</v>
      </c>
      <c r="I170" s="39"/>
      <c r="J170" s="39"/>
      <c r="K170" s="39">
        <v>21827</v>
      </c>
      <c r="L170" s="39"/>
      <c r="V170" s="785"/>
    </row>
    <row r="171" spans="1:22" x14ac:dyDescent="0.25">
      <c r="A171">
        <v>4700</v>
      </c>
      <c r="B171" s="150">
        <v>43103</v>
      </c>
      <c r="C171" s="10">
        <v>4700</v>
      </c>
      <c r="D171" s="233">
        <v>15.84563</v>
      </c>
      <c r="E171" s="39">
        <v>17.670000000000002</v>
      </c>
      <c r="F171" s="39">
        <f t="shared" si="20"/>
        <v>8574.5390000000079</v>
      </c>
      <c r="G171" s="39">
        <f t="shared" si="21"/>
        <v>74474.460999999996</v>
      </c>
      <c r="H171" s="222">
        <f t="shared" si="22"/>
        <v>0.11513395175830825</v>
      </c>
      <c r="I171" s="39"/>
      <c r="J171" s="39">
        <v>73</v>
      </c>
      <c r="K171" s="39">
        <v>23190</v>
      </c>
      <c r="L171" s="39"/>
      <c r="V171" s="785"/>
    </row>
    <row r="172" spans="1:22" x14ac:dyDescent="0.25">
      <c r="A172">
        <v>4600</v>
      </c>
      <c r="B172" s="150">
        <v>43104</v>
      </c>
      <c r="C172" s="10">
        <v>4600</v>
      </c>
      <c r="D172" s="233">
        <v>15.8</v>
      </c>
      <c r="E172" s="39">
        <v>18.12</v>
      </c>
      <c r="F172" s="39">
        <f t="shared" si="20"/>
        <v>10672.000000000002</v>
      </c>
      <c r="G172" s="39">
        <f t="shared" si="21"/>
        <v>72680</v>
      </c>
      <c r="H172" s="222">
        <f t="shared" si="22"/>
        <v>0.14683544303797469</v>
      </c>
      <c r="I172" s="39"/>
      <c r="J172" s="39"/>
      <c r="K172" s="39">
        <v>25283</v>
      </c>
      <c r="L172" s="39"/>
      <c r="V172" s="786"/>
    </row>
    <row r="173" spans="1:22" x14ac:dyDescent="0.25">
      <c r="A173">
        <v>4600</v>
      </c>
      <c r="B173" s="150">
        <v>43105</v>
      </c>
      <c r="C173" s="10">
        <v>4600</v>
      </c>
      <c r="D173" s="233">
        <v>15.8</v>
      </c>
      <c r="E173" s="39">
        <v>17.89</v>
      </c>
      <c r="F173" s="39">
        <f t="shared" si="20"/>
        <v>9614</v>
      </c>
      <c r="G173" s="39">
        <f t="shared" si="21"/>
        <v>72680</v>
      </c>
      <c r="H173" s="222">
        <f t="shared" si="22"/>
        <v>0.13227848101265821</v>
      </c>
      <c r="I173" s="39"/>
      <c r="J173" s="39">
        <v>59.81</v>
      </c>
      <c r="K173" s="39">
        <v>24225</v>
      </c>
      <c r="L173" s="39"/>
      <c r="V173" s="786"/>
    </row>
    <row r="174" spans="1:22" x14ac:dyDescent="0.25">
      <c r="A174">
        <v>4600</v>
      </c>
      <c r="B174" s="150">
        <v>43109</v>
      </c>
      <c r="C174" s="10">
        <v>4600</v>
      </c>
      <c r="D174" s="233">
        <v>15.8</v>
      </c>
      <c r="E174" s="39">
        <v>18.05</v>
      </c>
      <c r="F174" s="39">
        <f t="shared" ref="F174:F181" si="23">C174*(E174-D174)</f>
        <v>10350</v>
      </c>
      <c r="G174" s="39">
        <f t="shared" ref="G174:G181" si="24">D174*C174</f>
        <v>72680</v>
      </c>
      <c r="H174" s="222">
        <f t="shared" ref="H174:H181" si="25">(E174-D174)/D174</f>
        <v>0.14240506329113922</v>
      </c>
      <c r="I174" s="39"/>
      <c r="J174" s="39">
        <v>73.349999999999994</v>
      </c>
      <c r="K174" s="39">
        <v>24961</v>
      </c>
      <c r="L174" s="39"/>
      <c r="V174" s="786"/>
    </row>
    <row r="175" spans="1:22" x14ac:dyDescent="0.25">
      <c r="A175">
        <v>4233</v>
      </c>
      <c r="B175" s="150">
        <v>43111</v>
      </c>
      <c r="C175" s="10">
        <v>4233</v>
      </c>
      <c r="D175" s="233">
        <v>15.564</v>
      </c>
      <c r="E175" s="39">
        <v>18.600000000000001</v>
      </c>
      <c r="F175" s="39">
        <f t="shared" si="23"/>
        <v>12851.388000000006</v>
      </c>
      <c r="G175" s="39">
        <f t="shared" si="24"/>
        <v>65882.411999999997</v>
      </c>
      <c r="H175" s="222">
        <f t="shared" si="25"/>
        <v>0.19506553585196615</v>
      </c>
      <c r="I175" s="39"/>
      <c r="J175" s="39"/>
      <c r="K175" s="39">
        <v>27465</v>
      </c>
      <c r="L175" s="39"/>
    </row>
    <row r="176" spans="1:22" x14ac:dyDescent="0.25">
      <c r="A176">
        <v>4100</v>
      </c>
      <c r="B176" s="150">
        <v>43112</v>
      </c>
      <c r="C176" s="10">
        <v>4100</v>
      </c>
      <c r="D176" s="233">
        <v>15.455299999999999</v>
      </c>
      <c r="E176" s="39">
        <v>18.82</v>
      </c>
      <c r="F176" s="39">
        <f t="shared" si="23"/>
        <v>13795.270000000004</v>
      </c>
      <c r="G176" s="39">
        <f t="shared" si="24"/>
        <v>63366.729999999996</v>
      </c>
      <c r="H176" s="222">
        <f t="shared" si="25"/>
        <v>0.21770525321410786</v>
      </c>
      <c r="I176" s="39"/>
      <c r="J176" s="39">
        <v>76.94</v>
      </c>
      <c r="K176" s="39">
        <v>28411</v>
      </c>
      <c r="L176" s="39"/>
    </row>
    <row r="177" spans="1:22" x14ac:dyDescent="0.25">
      <c r="A177">
        <v>4100</v>
      </c>
      <c r="B177" s="150">
        <v>43116</v>
      </c>
      <c r="C177" s="10">
        <v>4300</v>
      </c>
      <c r="D177" s="233">
        <v>15.59</v>
      </c>
      <c r="E177" s="39">
        <v>18.239999999999998</v>
      </c>
      <c r="F177" s="39">
        <f t="shared" si="23"/>
        <v>11394.999999999995</v>
      </c>
      <c r="G177" s="39">
        <f t="shared" si="24"/>
        <v>67037</v>
      </c>
      <c r="H177" s="222">
        <f t="shared" si="25"/>
        <v>0.1699807568954457</v>
      </c>
      <c r="I177" s="39"/>
      <c r="J177" s="39"/>
      <c r="K177" s="39">
        <v>26011</v>
      </c>
      <c r="L177" s="39"/>
      <c r="V177" s="789"/>
    </row>
    <row r="178" spans="1:22" x14ac:dyDescent="0.25">
      <c r="A178">
        <v>4100</v>
      </c>
      <c r="B178" s="150">
        <v>43116</v>
      </c>
      <c r="C178" s="10">
        <v>4500</v>
      </c>
      <c r="D178" s="233">
        <v>15.708</v>
      </c>
      <c r="E178" s="39">
        <v>18.239999999999998</v>
      </c>
      <c r="F178" s="39">
        <f t="shared" si="23"/>
        <v>11393.999999999993</v>
      </c>
      <c r="G178" s="39">
        <f t="shared" si="24"/>
        <v>70686</v>
      </c>
      <c r="H178" s="222">
        <f t="shared" si="25"/>
        <v>0.16119174942704342</v>
      </c>
      <c r="I178" s="39"/>
      <c r="J178" s="39"/>
      <c r="K178" s="39">
        <v>26011</v>
      </c>
      <c r="L178" s="39"/>
      <c r="V178" s="789"/>
    </row>
    <row r="179" spans="1:22" x14ac:dyDescent="0.25">
      <c r="B179" s="150">
        <v>43117</v>
      </c>
      <c r="C179" s="10">
        <v>4100</v>
      </c>
      <c r="D179" s="233">
        <v>15.41</v>
      </c>
      <c r="E179" s="39">
        <v>18.600000000000001</v>
      </c>
      <c r="F179" s="39">
        <f t="shared" si="23"/>
        <v>13079.000000000005</v>
      </c>
      <c r="G179" s="39">
        <f t="shared" si="24"/>
        <v>63181</v>
      </c>
      <c r="H179" s="222">
        <f t="shared" si="25"/>
        <v>0.20700843608046732</v>
      </c>
      <c r="I179" s="39"/>
      <c r="J179" s="39"/>
      <c r="K179" s="39">
        <v>27692</v>
      </c>
      <c r="L179" s="39"/>
      <c r="V179" s="798"/>
    </row>
    <row r="180" spans="1:22" x14ac:dyDescent="0.25">
      <c r="A180">
        <v>3500</v>
      </c>
      <c r="B180" s="150">
        <v>43117</v>
      </c>
      <c r="C180" s="10">
        <v>4000</v>
      </c>
      <c r="D180" s="233">
        <v>15.321</v>
      </c>
      <c r="E180" s="39">
        <v>18.989999999999998</v>
      </c>
      <c r="F180" s="39">
        <f t="shared" si="23"/>
        <v>14675.999999999995</v>
      </c>
      <c r="G180" s="39">
        <f t="shared" si="24"/>
        <v>61284</v>
      </c>
      <c r="H180" s="222">
        <f t="shared" si="25"/>
        <v>0.2394752300763657</v>
      </c>
      <c r="I180" s="39"/>
      <c r="J180" s="39">
        <v>66.36</v>
      </c>
      <c r="K180" s="39">
        <v>29291</v>
      </c>
      <c r="L180" s="39"/>
      <c r="V180" s="798"/>
    </row>
    <row r="181" spans="1:22" x14ac:dyDescent="0.25">
      <c r="A181">
        <v>3300</v>
      </c>
      <c r="B181" s="150">
        <v>43123</v>
      </c>
      <c r="C181" s="7">
        <v>4000</v>
      </c>
      <c r="D181" s="422">
        <v>15.303000000000001</v>
      </c>
      <c r="E181" s="39">
        <v>19.22</v>
      </c>
      <c r="F181" s="39">
        <f t="shared" si="23"/>
        <v>15667.999999999993</v>
      </c>
      <c r="G181" s="39">
        <f t="shared" si="24"/>
        <v>61212</v>
      </c>
      <c r="H181" s="222">
        <f t="shared" si="25"/>
        <v>0.25596288309481785</v>
      </c>
      <c r="I181" s="39"/>
      <c r="J181" s="39">
        <v>70.61</v>
      </c>
      <c r="K181" s="39">
        <v>30285</v>
      </c>
      <c r="L181" s="39"/>
      <c r="V181" s="800"/>
    </row>
    <row r="182" spans="1:22" x14ac:dyDescent="0.25">
      <c r="A182">
        <v>3300</v>
      </c>
      <c r="B182" s="150">
        <v>43125</v>
      </c>
      <c r="C182" s="10">
        <v>4100</v>
      </c>
      <c r="D182" s="233">
        <v>15.39</v>
      </c>
      <c r="E182" s="39">
        <v>18.68</v>
      </c>
      <c r="F182" s="39">
        <f>C182*(E182-D182)</f>
        <v>13488.999999999996</v>
      </c>
      <c r="G182" s="39">
        <f>D182*C182</f>
        <v>63099</v>
      </c>
      <c r="H182" s="222">
        <f>(E182-D182)/D182</f>
        <v>0.21377517868745932</v>
      </c>
      <c r="I182" s="39"/>
      <c r="J182" s="39"/>
      <c r="K182" s="39">
        <v>28105</v>
      </c>
      <c r="L182" s="39"/>
      <c r="V182" s="800"/>
    </row>
    <row r="183" spans="1:22" x14ac:dyDescent="0.25">
      <c r="A183">
        <v>3300</v>
      </c>
      <c r="B183" s="150">
        <v>43126</v>
      </c>
      <c r="C183" s="10">
        <v>4100</v>
      </c>
      <c r="D183" s="233">
        <v>15.39</v>
      </c>
      <c r="E183" s="39">
        <v>18.84</v>
      </c>
      <c r="F183" s="39">
        <f t="shared" ref="F183:F196" si="26">C183*(E183-D183)</f>
        <v>14144.999999999996</v>
      </c>
      <c r="G183" s="39">
        <f t="shared" ref="G183:G196" si="27">D183*C183</f>
        <v>63099</v>
      </c>
      <c r="H183" s="222">
        <f t="shared" ref="H183:H196" si="28">(E183-D183)/D183</f>
        <v>0.22417153996101358</v>
      </c>
      <c r="I183" s="39"/>
      <c r="J183" s="39">
        <v>62.61</v>
      </c>
      <c r="K183" s="39">
        <v>28106</v>
      </c>
      <c r="L183" s="39"/>
      <c r="O183" s="2"/>
      <c r="V183" s="800"/>
    </row>
    <row r="184" spans="1:22" x14ac:dyDescent="0.25">
      <c r="A184">
        <v>3300</v>
      </c>
      <c r="B184" s="150">
        <v>43130</v>
      </c>
      <c r="C184" s="10">
        <v>4800</v>
      </c>
      <c r="D184" s="233">
        <v>15.803000000000001</v>
      </c>
      <c r="E184" s="39">
        <v>18.059999999999999</v>
      </c>
      <c r="F184" s="39">
        <f t="shared" si="26"/>
        <v>10833.599999999989</v>
      </c>
      <c r="G184" s="39">
        <f t="shared" si="27"/>
        <v>75854.400000000009</v>
      </c>
      <c r="H184" s="222">
        <f t="shared" si="28"/>
        <v>0.14282098335759019</v>
      </c>
      <c r="I184" s="39"/>
      <c r="J184" s="39"/>
      <c r="K184" s="39">
        <v>25451</v>
      </c>
      <c r="L184" s="39"/>
      <c r="V184" s="789"/>
    </row>
    <row r="185" spans="1:22" x14ac:dyDescent="0.25">
      <c r="A185">
        <v>3300</v>
      </c>
      <c r="B185" s="150">
        <v>43133</v>
      </c>
      <c r="C185" s="10">
        <v>5000</v>
      </c>
      <c r="D185" s="233">
        <v>15.874000000000001</v>
      </c>
      <c r="E185" s="39">
        <v>17.52</v>
      </c>
      <c r="F185" s="39">
        <f t="shared" si="26"/>
        <v>8229.9999999999945</v>
      </c>
      <c r="G185" s="39">
        <f t="shared" si="27"/>
        <v>79370</v>
      </c>
      <c r="H185" s="222">
        <f t="shared" si="28"/>
        <v>0.10369157112259034</v>
      </c>
      <c r="I185" s="39"/>
      <c r="J185" s="39"/>
      <c r="K185" s="39">
        <v>22847</v>
      </c>
      <c r="L185" s="39"/>
    </row>
    <row r="186" spans="1:22" x14ac:dyDescent="0.25">
      <c r="A186">
        <v>3300</v>
      </c>
      <c r="B186" s="150">
        <v>43139</v>
      </c>
      <c r="C186" s="10">
        <v>5500</v>
      </c>
      <c r="D186" s="233">
        <v>15.87</v>
      </c>
      <c r="E186" s="39">
        <v>15.68</v>
      </c>
      <c r="F186" s="39">
        <f t="shared" si="26"/>
        <v>-1044.9999999999973</v>
      </c>
      <c r="G186" s="39">
        <f t="shared" si="27"/>
        <v>87285</v>
      </c>
      <c r="H186" s="222">
        <f t="shared" si="28"/>
        <v>-1.1972274732199088E-2</v>
      </c>
      <c r="I186" s="39"/>
      <c r="J186" s="39">
        <v>32.950000000000003</v>
      </c>
      <c r="K186" s="39">
        <v>13547</v>
      </c>
      <c r="L186" s="39">
        <v>60.44</v>
      </c>
    </row>
    <row r="187" spans="1:22" x14ac:dyDescent="0.25">
      <c r="B187" s="150">
        <v>43140</v>
      </c>
      <c r="C187" s="10">
        <v>6000</v>
      </c>
      <c r="D187" s="233">
        <v>15.8246</v>
      </c>
      <c r="E187" s="39">
        <v>15.51</v>
      </c>
      <c r="F187" s="39">
        <f t="shared" si="26"/>
        <v>-1887.6000000000026</v>
      </c>
      <c r="G187" s="39">
        <f t="shared" si="27"/>
        <v>94947.6</v>
      </c>
      <c r="H187" s="222">
        <f t="shared" si="28"/>
        <v>-1.9880439316001697E-2</v>
      </c>
      <c r="I187" s="39"/>
      <c r="J187" s="39"/>
      <c r="K187" s="39"/>
      <c r="L187" s="39"/>
    </row>
    <row r="188" spans="1:22" x14ac:dyDescent="0.25">
      <c r="B188" s="150">
        <v>43140</v>
      </c>
      <c r="C188" s="10">
        <v>5500</v>
      </c>
      <c r="D188" s="233">
        <v>15.85</v>
      </c>
      <c r="E188" s="39">
        <v>15.51</v>
      </c>
      <c r="F188" s="39">
        <f t="shared" si="26"/>
        <v>-1869.9999999999993</v>
      </c>
      <c r="G188" s="39">
        <f t="shared" si="27"/>
        <v>87175</v>
      </c>
      <c r="H188" s="222">
        <f t="shared" si="28"/>
        <v>-2.1451104100946364E-2</v>
      </c>
      <c r="I188" s="39"/>
      <c r="J188" s="39"/>
      <c r="K188" s="39"/>
      <c r="L188" s="39"/>
    </row>
    <row r="189" spans="1:22" x14ac:dyDescent="0.25">
      <c r="B189" s="150">
        <v>43140</v>
      </c>
      <c r="C189" s="425">
        <v>6000</v>
      </c>
      <c r="D189" s="642">
        <v>15.795999999999999</v>
      </c>
      <c r="E189" s="39">
        <v>15.51</v>
      </c>
      <c r="F189" s="39">
        <f t="shared" si="26"/>
        <v>-1715.9999999999975</v>
      </c>
      <c r="G189" s="39">
        <f t="shared" si="27"/>
        <v>94776</v>
      </c>
      <c r="H189" s="222">
        <f t="shared" si="28"/>
        <v>-1.8105849582172675E-2</v>
      </c>
      <c r="I189" s="39">
        <v>15.75</v>
      </c>
      <c r="J189" s="39"/>
      <c r="K189" s="39"/>
      <c r="L189" s="39"/>
    </row>
    <row r="190" spans="1:22" x14ac:dyDescent="0.25">
      <c r="A190">
        <v>2300</v>
      </c>
      <c r="B190" s="150">
        <v>43140</v>
      </c>
      <c r="C190" s="10">
        <v>5500</v>
      </c>
      <c r="D190" s="233">
        <v>15.824999999999999</v>
      </c>
      <c r="E190" s="39">
        <v>15.51</v>
      </c>
      <c r="F190" s="39">
        <f t="shared" si="26"/>
        <v>-1732.4999999999973</v>
      </c>
      <c r="G190" s="39">
        <f t="shared" si="27"/>
        <v>87037.5</v>
      </c>
      <c r="H190" s="222">
        <f t="shared" si="28"/>
        <v>-1.990521327014215E-2</v>
      </c>
      <c r="I190" s="39"/>
      <c r="J190" s="39"/>
      <c r="K190" s="39">
        <v>12882</v>
      </c>
      <c r="L190" s="39">
        <v>59.18</v>
      </c>
    </row>
    <row r="191" spans="1:22" x14ac:dyDescent="0.25">
      <c r="A191">
        <v>1800</v>
      </c>
      <c r="B191" s="150">
        <v>43143</v>
      </c>
      <c r="C191" s="10">
        <v>5000</v>
      </c>
      <c r="D191" s="233">
        <v>15.77</v>
      </c>
      <c r="E191" s="39">
        <v>16.27</v>
      </c>
      <c r="F191" s="39">
        <f t="shared" si="26"/>
        <v>2500</v>
      </c>
      <c r="G191" s="39">
        <f t="shared" si="27"/>
        <v>78850</v>
      </c>
      <c r="H191" s="222">
        <f t="shared" si="28"/>
        <v>3.1705770450221944E-2</v>
      </c>
      <c r="I191" s="39"/>
      <c r="J191" s="39"/>
      <c r="K191" s="39">
        <v>17117</v>
      </c>
      <c r="L191" s="39"/>
    </row>
    <row r="192" spans="1:22" x14ac:dyDescent="0.25">
      <c r="A192">
        <v>800</v>
      </c>
      <c r="B192" s="150">
        <v>43146</v>
      </c>
      <c r="C192" s="10">
        <v>5000</v>
      </c>
      <c r="D192" s="233">
        <v>15.682</v>
      </c>
      <c r="E192" s="39">
        <v>16.32</v>
      </c>
      <c r="F192" s="39">
        <f t="shared" si="26"/>
        <v>3189.9999999999995</v>
      </c>
      <c r="G192" s="39">
        <f t="shared" si="27"/>
        <v>78410</v>
      </c>
      <c r="H192" s="222">
        <f t="shared" si="28"/>
        <v>4.0683586277260549E-2</v>
      </c>
      <c r="I192" s="39"/>
      <c r="J192" s="39"/>
      <c r="K192" s="39">
        <v>17807</v>
      </c>
      <c r="L192" s="39"/>
    </row>
    <row r="193" spans="1:12" x14ac:dyDescent="0.25">
      <c r="A193">
        <v>1200</v>
      </c>
      <c r="B193" s="150">
        <v>43147</v>
      </c>
      <c r="C193" s="10">
        <v>5500</v>
      </c>
      <c r="D193" s="233">
        <v>15.688000000000001</v>
      </c>
      <c r="E193" s="39">
        <v>15.69</v>
      </c>
      <c r="F193" s="39">
        <f t="shared" si="26"/>
        <v>10.999999999993904</v>
      </c>
      <c r="G193" s="39">
        <f t="shared" si="27"/>
        <v>86284</v>
      </c>
      <c r="H193" s="222">
        <f t="shared" si="28"/>
        <v>1.2748597654250966E-4</v>
      </c>
      <c r="I193" s="39"/>
      <c r="J193" s="39"/>
      <c r="K193" s="39">
        <v>14407</v>
      </c>
      <c r="L193" s="39"/>
    </row>
    <row r="194" spans="1:12" x14ac:dyDescent="0.25">
      <c r="A194">
        <v>800</v>
      </c>
      <c r="B194" s="150">
        <v>43151</v>
      </c>
      <c r="C194" s="10">
        <v>5000</v>
      </c>
      <c r="D194" s="233">
        <v>15.6388</v>
      </c>
      <c r="E194" s="39">
        <v>16.18</v>
      </c>
      <c r="F194" s="39">
        <f t="shared" si="26"/>
        <v>2705.9999999999995</v>
      </c>
      <c r="G194" s="39">
        <f t="shared" si="27"/>
        <v>78194</v>
      </c>
      <c r="H194" s="222">
        <f t="shared" si="28"/>
        <v>3.4606235772565663E-2</v>
      </c>
      <c r="I194" s="39"/>
      <c r="J194" s="39"/>
      <c r="K194" s="39">
        <v>17321</v>
      </c>
      <c r="L194" s="39"/>
    </row>
    <row r="195" spans="1:12" x14ac:dyDescent="0.25">
      <c r="A195">
        <v>800</v>
      </c>
      <c r="B195" s="150">
        <v>43151</v>
      </c>
      <c r="C195" s="10">
        <v>5500</v>
      </c>
      <c r="D195" s="233">
        <v>15.654999999999999</v>
      </c>
      <c r="E195" s="39">
        <v>15.8</v>
      </c>
      <c r="F195" s="39">
        <f t="shared" si="26"/>
        <v>797.50000000000739</v>
      </c>
      <c r="G195" s="39">
        <f t="shared" si="27"/>
        <v>86102.5</v>
      </c>
      <c r="H195" s="222">
        <f t="shared" si="28"/>
        <v>9.2622165442351554E-3</v>
      </c>
      <c r="I195" s="39"/>
      <c r="J195" s="39"/>
      <c r="K195" s="39">
        <v>15521</v>
      </c>
      <c r="L195" s="39"/>
    </row>
    <row r="196" spans="1:12" x14ac:dyDescent="0.25">
      <c r="A196">
        <v>800</v>
      </c>
      <c r="B196" s="150">
        <v>43152</v>
      </c>
      <c r="C196" s="425">
        <v>6000</v>
      </c>
      <c r="D196" s="642">
        <v>15.637</v>
      </c>
      <c r="E196" s="39">
        <v>15.3</v>
      </c>
      <c r="F196" s="39">
        <f t="shared" si="26"/>
        <v>-2021.9999999999984</v>
      </c>
      <c r="G196" s="39">
        <f t="shared" si="27"/>
        <v>93822</v>
      </c>
      <c r="H196" s="222">
        <f t="shared" si="28"/>
        <v>-2.1551448487561537E-2</v>
      </c>
      <c r="I196" s="193" t="s">
        <v>934</v>
      </c>
      <c r="J196" s="39"/>
      <c r="K196" s="39">
        <v>12591</v>
      </c>
      <c r="L196" s="39"/>
    </row>
    <row r="197" spans="1:12" ht="15" customHeight="1" x14ac:dyDescent="0.25">
      <c r="A197">
        <v>1100</v>
      </c>
      <c r="B197" s="150">
        <v>43156</v>
      </c>
      <c r="C197" s="10">
        <v>6000</v>
      </c>
      <c r="D197" s="233">
        <v>15.637</v>
      </c>
      <c r="E197" s="39">
        <v>15.54</v>
      </c>
      <c r="F197" s="39">
        <f>C197*(E197-D197)</f>
        <v>-582.00000000000784</v>
      </c>
      <c r="G197" s="39">
        <f>D197*C197</f>
        <v>93822</v>
      </c>
      <c r="H197" s="222">
        <f>(E197-D197)/D197</f>
        <v>-6.2032359148175035E-3</v>
      </c>
      <c r="I197" s="193"/>
      <c r="J197" s="39"/>
      <c r="K197" s="39">
        <v>14031</v>
      </c>
      <c r="L197" s="39">
        <v>63.55</v>
      </c>
    </row>
    <row r="198" spans="1:12" x14ac:dyDescent="0.25">
      <c r="A198">
        <v>1100</v>
      </c>
      <c r="B198" s="150">
        <v>43159</v>
      </c>
      <c r="C198" s="10">
        <v>6400</v>
      </c>
      <c r="D198" s="233">
        <v>15.582000000000001</v>
      </c>
      <c r="E198" s="39">
        <v>14.52</v>
      </c>
      <c r="F198" s="39">
        <f>C198*(E198-D198)</f>
        <v>-6796.8000000000075</v>
      </c>
      <c r="G198" s="39">
        <f>D198*C198</f>
        <v>99724.800000000003</v>
      </c>
      <c r="H198" s="222">
        <f>(E198-D198)/D198</f>
        <v>-6.8155564112437506E-2</v>
      </c>
      <c r="I198" s="39">
        <v>15.5</v>
      </c>
      <c r="J198" s="39"/>
      <c r="K198" s="39">
        <v>7819</v>
      </c>
      <c r="L198" s="39"/>
    </row>
    <row r="199" spans="1:12" x14ac:dyDescent="0.25">
      <c r="A199">
        <v>2000</v>
      </c>
      <c r="B199" s="150">
        <v>43165</v>
      </c>
      <c r="C199" s="10">
        <v>6400</v>
      </c>
      <c r="D199" s="233">
        <v>15.582000000000001</v>
      </c>
      <c r="E199" s="39">
        <v>15.03</v>
      </c>
      <c r="F199" s="39">
        <f>C199*(E199-D199)</f>
        <v>-3532.8000000000088</v>
      </c>
      <c r="G199" s="39">
        <f>D199*C199</f>
        <v>99724.800000000003</v>
      </c>
      <c r="H199" s="222">
        <f>(E199-D199)/D199</f>
        <v>-3.542549095109751E-2</v>
      </c>
      <c r="I199" s="39"/>
      <c r="J199" s="39"/>
      <c r="K199" s="39">
        <v>11083</v>
      </c>
      <c r="L199" s="39"/>
    </row>
    <row r="200" spans="1:12" x14ac:dyDescent="0.25">
      <c r="A200">
        <v>2000</v>
      </c>
      <c r="B200" s="150">
        <v>43168</v>
      </c>
      <c r="C200" s="10">
        <v>6400</v>
      </c>
      <c r="D200" s="233">
        <v>15.582000000000001</v>
      </c>
      <c r="E200" s="39">
        <v>15.22</v>
      </c>
      <c r="F200" s="39">
        <f t="shared" ref="F200:F206" si="29">C200*(E200-D200)</f>
        <v>-2316.8000000000006</v>
      </c>
      <c r="G200" s="39">
        <f t="shared" ref="G200:G206" si="30">D200*C200</f>
        <v>99724.800000000003</v>
      </c>
      <c r="H200" s="222">
        <f t="shared" ref="H200:H206" si="31">(E200-D200)/D200</f>
        <v>-2.3231934283147227E-2</v>
      </c>
      <c r="I200" s="39"/>
      <c r="J200" s="39"/>
      <c r="K200" s="39">
        <v>12299</v>
      </c>
      <c r="L200" s="39"/>
    </row>
    <row r="201" spans="1:12" x14ac:dyDescent="0.25">
      <c r="A201">
        <v>3500</v>
      </c>
      <c r="B201" s="150">
        <v>43172</v>
      </c>
      <c r="C201" s="10">
        <v>6400</v>
      </c>
      <c r="D201" s="233">
        <v>15.54</v>
      </c>
      <c r="E201" s="39">
        <v>14.82</v>
      </c>
      <c r="F201" s="39">
        <f t="shared" si="29"/>
        <v>-4607.9999999999927</v>
      </c>
      <c r="G201" s="39">
        <f t="shared" si="30"/>
        <v>99456</v>
      </c>
      <c r="H201" s="222">
        <f t="shared" si="31"/>
        <v>-4.633204633204626E-2</v>
      </c>
      <c r="I201" s="39"/>
      <c r="J201" s="39"/>
      <c r="K201" s="39">
        <v>10013</v>
      </c>
      <c r="L201" s="39" t="s">
        <v>185</v>
      </c>
    </row>
    <row r="202" spans="1:12" x14ac:dyDescent="0.25">
      <c r="A202">
        <v>3600</v>
      </c>
      <c r="B202" s="150">
        <v>43180</v>
      </c>
      <c r="C202" s="810">
        <v>5000</v>
      </c>
      <c r="D202" s="811">
        <v>15.416</v>
      </c>
      <c r="E202" s="39">
        <v>15.98</v>
      </c>
      <c r="F202" s="39">
        <f t="shared" si="29"/>
        <v>2820.0000000000005</v>
      </c>
      <c r="G202" s="39">
        <f t="shared" si="30"/>
        <v>77080</v>
      </c>
      <c r="H202" s="222">
        <f t="shared" si="31"/>
        <v>3.6585365853658541E-2</v>
      </c>
      <c r="I202" s="39"/>
      <c r="J202" s="39"/>
      <c r="K202" s="39">
        <v>17438</v>
      </c>
      <c r="L202" s="39"/>
    </row>
    <row r="203" spans="1:12" x14ac:dyDescent="0.25">
      <c r="A203">
        <v>3400</v>
      </c>
      <c r="B203" s="150">
        <v>43180</v>
      </c>
      <c r="C203" s="10">
        <v>4800</v>
      </c>
      <c r="D203" s="233">
        <v>15.375</v>
      </c>
      <c r="E203" s="39">
        <v>16.38</v>
      </c>
      <c r="F203" s="39">
        <f t="shared" si="29"/>
        <v>4823.9999999999955</v>
      </c>
      <c r="G203" s="39">
        <f t="shared" si="30"/>
        <v>73800</v>
      </c>
      <c r="H203" s="222">
        <f t="shared" si="31"/>
        <v>6.5365853658536519E-2</v>
      </c>
      <c r="I203" s="39"/>
      <c r="J203" s="39"/>
      <c r="K203" s="39">
        <v>19438</v>
      </c>
      <c r="L203" s="39"/>
    </row>
    <row r="204" spans="1:12" x14ac:dyDescent="0.25">
      <c r="B204" s="150">
        <v>43181</v>
      </c>
      <c r="C204" s="10">
        <v>5200</v>
      </c>
      <c r="D204" s="233">
        <v>15.416</v>
      </c>
      <c r="E204" s="39">
        <v>15.9</v>
      </c>
      <c r="F204" s="39">
        <f t="shared" si="29"/>
        <v>2516.7999999999997</v>
      </c>
      <c r="G204" s="39">
        <f t="shared" si="30"/>
        <v>80163.199999999997</v>
      </c>
      <c r="H204" s="222">
        <f t="shared" si="31"/>
        <v>3.1395952257394916E-2</v>
      </c>
      <c r="I204" s="39"/>
      <c r="J204" s="39"/>
      <c r="K204" s="39"/>
      <c r="L204" s="39"/>
    </row>
    <row r="205" spans="1:12" x14ac:dyDescent="0.25">
      <c r="A205">
        <v>3000</v>
      </c>
      <c r="B205" s="150">
        <v>43181</v>
      </c>
      <c r="C205" s="10">
        <v>4800</v>
      </c>
      <c r="D205" s="233">
        <v>15.3645</v>
      </c>
      <c r="E205" s="39">
        <v>16.02</v>
      </c>
      <c r="F205" s="39">
        <f t="shared" si="29"/>
        <v>3146.3999999999996</v>
      </c>
      <c r="G205" s="39">
        <f t="shared" si="30"/>
        <v>73749.599999999991</v>
      </c>
      <c r="H205" s="222">
        <f t="shared" si="31"/>
        <v>4.2663282241530799E-2</v>
      </c>
      <c r="I205" s="39"/>
      <c r="J205" s="39"/>
      <c r="K205" s="39"/>
      <c r="L205" s="39"/>
    </row>
    <row r="206" spans="1:12" x14ac:dyDescent="0.25">
      <c r="A206">
        <v>3500</v>
      </c>
      <c r="B206" s="150">
        <v>43182</v>
      </c>
      <c r="C206" s="10">
        <v>5000</v>
      </c>
      <c r="D206" s="233">
        <v>15.378</v>
      </c>
      <c r="E206" s="39">
        <v>15.76</v>
      </c>
      <c r="F206" s="39">
        <f t="shared" si="29"/>
        <v>1909.9999999999984</v>
      </c>
      <c r="G206" s="39">
        <f t="shared" si="30"/>
        <v>76890</v>
      </c>
      <c r="H206" s="222">
        <f t="shared" si="31"/>
        <v>2.4840681493041986E-2</v>
      </c>
      <c r="I206" s="39"/>
      <c r="J206" s="39"/>
      <c r="K206" s="39">
        <v>16525</v>
      </c>
      <c r="L206" s="39"/>
    </row>
    <row r="207" spans="1:12" x14ac:dyDescent="0.25">
      <c r="A207">
        <v>4000</v>
      </c>
      <c r="B207" s="150">
        <v>43185</v>
      </c>
      <c r="C207" s="10">
        <v>5000</v>
      </c>
      <c r="D207" s="233">
        <v>15.378</v>
      </c>
      <c r="E207" s="39">
        <v>16.27</v>
      </c>
      <c r="F207" s="39">
        <f>C207*(E207-D207)</f>
        <v>4459.9999999999973</v>
      </c>
      <c r="G207" s="39">
        <f>D207*C207</f>
        <v>76890</v>
      </c>
      <c r="H207" s="222">
        <f>(E207-D207)/D207</f>
        <v>5.8004942125113763E-2</v>
      </c>
      <c r="I207" s="39"/>
      <c r="J207" s="39"/>
      <c r="K207" s="39">
        <v>19075</v>
      </c>
      <c r="L207" s="39"/>
    </row>
    <row r="208" spans="1:12" x14ac:dyDescent="0.25">
      <c r="A208">
        <v>4000</v>
      </c>
      <c r="B208" s="150">
        <v>43186</v>
      </c>
      <c r="C208" s="810">
        <v>5000</v>
      </c>
      <c r="D208" s="811">
        <v>15.378</v>
      </c>
      <c r="E208" s="39">
        <v>15.82</v>
      </c>
      <c r="F208" s="39">
        <f>C208*(E208-D208)</f>
        <v>2210.0000000000009</v>
      </c>
      <c r="G208" s="39">
        <f>D208*C208</f>
        <v>76890</v>
      </c>
      <c r="H208" s="222">
        <f>(E208-D208)/D208</f>
        <v>2.8742359214462231E-2</v>
      </c>
      <c r="I208" s="39"/>
      <c r="J208" s="39"/>
      <c r="K208" s="39">
        <v>16825</v>
      </c>
      <c r="L208" s="39"/>
    </row>
    <row r="209" spans="1:16" x14ac:dyDescent="0.25">
      <c r="A209">
        <v>4000</v>
      </c>
      <c r="B209" s="150">
        <v>43187</v>
      </c>
      <c r="C209" s="10">
        <v>5200</v>
      </c>
      <c r="D209" s="233">
        <v>15.38</v>
      </c>
      <c r="E209" s="39">
        <v>15.32</v>
      </c>
      <c r="F209" s="39">
        <f>C209*(E209-D209)</f>
        <v>-312.00000000000261</v>
      </c>
      <c r="G209" s="39">
        <f>D209*C209</f>
        <v>79976</v>
      </c>
      <c r="H209" s="222">
        <f>(E209-D209)/D209</f>
        <v>-3.9011703511053638E-3</v>
      </c>
      <c r="I209" s="39"/>
      <c r="J209" s="39"/>
      <c r="K209" s="39">
        <v>14299</v>
      </c>
      <c r="L209" s="39"/>
    </row>
    <row r="210" spans="1:16" x14ac:dyDescent="0.25">
      <c r="A210">
        <v>3800</v>
      </c>
      <c r="B210" s="150">
        <v>43188</v>
      </c>
      <c r="C210" s="10">
        <v>5000</v>
      </c>
      <c r="D210" s="233">
        <v>15.358000000000001</v>
      </c>
      <c r="E210" s="39">
        <v>16.13</v>
      </c>
      <c r="F210" s="39">
        <f t="shared" ref="F210:F215" si="32">C210*(E210-D210)</f>
        <v>3859.9999999999923</v>
      </c>
      <c r="G210" s="39">
        <f t="shared" ref="G210:G215" si="33">D210*C210</f>
        <v>76790</v>
      </c>
      <c r="H210" s="222">
        <f t="shared" ref="H210:H215" si="34">(E210-D210)/D210</f>
        <v>5.0266961843990002E-2</v>
      </c>
      <c r="I210" s="39"/>
      <c r="J210" s="39"/>
      <c r="K210" s="39">
        <v>18478</v>
      </c>
      <c r="L210" s="39"/>
    </row>
    <row r="211" spans="1:16" x14ac:dyDescent="0.25">
      <c r="A211">
        <v>3600</v>
      </c>
      <c r="B211" s="150">
        <v>43188</v>
      </c>
      <c r="C211" s="10">
        <v>4800</v>
      </c>
      <c r="D211" s="233">
        <v>15.324999999999999</v>
      </c>
      <c r="E211" s="39">
        <v>16.13</v>
      </c>
      <c r="F211" s="39">
        <f t="shared" si="32"/>
        <v>3863.9999999999986</v>
      </c>
      <c r="G211" s="39">
        <f t="shared" si="33"/>
        <v>73560</v>
      </c>
      <c r="H211" s="222">
        <f t="shared" si="34"/>
        <v>5.2528548123980411E-2</v>
      </c>
      <c r="I211" s="39"/>
      <c r="J211" s="39"/>
      <c r="K211" s="39">
        <v>18477</v>
      </c>
      <c r="L211" s="39"/>
    </row>
    <row r="212" spans="1:16" x14ac:dyDescent="0.25">
      <c r="B212" s="150">
        <v>43192</v>
      </c>
      <c r="C212" s="810">
        <v>5000</v>
      </c>
      <c r="D212" s="811">
        <v>15.34</v>
      </c>
      <c r="E212" s="39">
        <v>15.57</v>
      </c>
      <c r="F212" s="39">
        <f t="shared" si="32"/>
        <v>1150.000000000002</v>
      </c>
      <c r="G212" s="39">
        <f t="shared" si="33"/>
        <v>76700</v>
      </c>
      <c r="H212" s="222">
        <f t="shared" si="34"/>
        <v>1.4993481095176038E-2</v>
      </c>
      <c r="I212" s="39"/>
      <c r="J212" s="39"/>
      <c r="K212" s="39">
        <v>15767</v>
      </c>
      <c r="L212" s="39"/>
    </row>
    <row r="213" spans="1:16" x14ac:dyDescent="0.25">
      <c r="A213">
        <v>4000</v>
      </c>
      <c r="B213" s="150">
        <v>43192</v>
      </c>
      <c r="C213" s="10">
        <v>5200</v>
      </c>
      <c r="D213" s="233">
        <v>15.336</v>
      </c>
      <c r="E213" s="39">
        <v>15.57</v>
      </c>
      <c r="F213" s="39">
        <f t="shared" si="32"/>
        <v>1216.8</v>
      </c>
      <c r="G213" s="39">
        <f t="shared" si="33"/>
        <v>79747.199999999997</v>
      </c>
      <c r="H213" s="222">
        <f t="shared" si="34"/>
        <v>1.5258215962441313E-2</v>
      </c>
      <c r="I213" s="39"/>
      <c r="J213" s="39"/>
      <c r="K213" s="39">
        <v>15831</v>
      </c>
      <c r="L213" s="39"/>
      <c r="N213" s="70"/>
    </row>
    <row r="214" spans="1:16" x14ac:dyDescent="0.25">
      <c r="A214">
        <v>3600</v>
      </c>
      <c r="B214" s="150">
        <v>43193</v>
      </c>
      <c r="C214" s="10">
        <v>4800</v>
      </c>
      <c r="D214" s="233">
        <v>15.29</v>
      </c>
      <c r="E214" s="39">
        <v>16</v>
      </c>
      <c r="F214" s="39">
        <f t="shared" si="32"/>
        <v>3408.0000000000041</v>
      </c>
      <c r="G214" s="39">
        <f t="shared" si="33"/>
        <v>73392</v>
      </c>
      <c r="H214" s="222">
        <f t="shared" si="34"/>
        <v>4.6435578809679585E-2</v>
      </c>
      <c r="I214" s="39"/>
      <c r="J214" s="39"/>
      <c r="K214" s="39">
        <v>18019</v>
      </c>
      <c r="L214" s="39"/>
    </row>
    <row r="215" spans="1:16" x14ac:dyDescent="0.25">
      <c r="A215">
        <v>2800</v>
      </c>
      <c r="B215" s="150">
        <v>43195</v>
      </c>
      <c r="C215" s="7">
        <v>4000</v>
      </c>
      <c r="D215" s="422">
        <v>14.989000000000001</v>
      </c>
      <c r="E215" s="39">
        <v>16.8</v>
      </c>
      <c r="F215" s="39">
        <f t="shared" si="32"/>
        <v>7244</v>
      </c>
      <c r="G215" s="39">
        <f t="shared" si="33"/>
        <v>59956</v>
      </c>
      <c r="H215" s="222">
        <f t="shared" si="34"/>
        <v>0.1208219360864634</v>
      </c>
      <c r="I215" s="39">
        <v>14.5</v>
      </c>
      <c r="J215" s="39"/>
      <c r="K215" s="39">
        <v>21859</v>
      </c>
      <c r="L215" s="39"/>
    </row>
    <row r="216" spans="1:16" x14ac:dyDescent="0.25">
      <c r="A216">
        <v>2800</v>
      </c>
      <c r="B216" s="150">
        <v>43196</v>
      </c>
      <c r="C216" s="10">
        <v>4400</v>
      </c>
      <c r="D216" s="233">
        <v>15.12</v>
      </c>
      <c r="E216" s="39">
        <v>16.420000000000002</v>
      </c>
      <c r="F216" s="39">
        <f t="shared" ref="F216:F246" si="35">C216*(E216-D216)</f>
        <v>5720.0000000000109</v>
      </c>
      <c r="G216" s="39">
        <f t="shared" ref="G216:G246" si="36">D216*C216</f>
        <v>66528</v>
      </c>
      <c r="H216" s="222">
        <f t="shared" ref="H216:H246" si="37">(E216-D216)/D216</f>
        <v>8.5978835978836154E-2</v>
      </c>
      <c r="I216" s="39"/>
      <c r="J216" s="39"/>
      <c r="K216" s="39">
        <v>20339</v>
      </c>
      <c r="L216" s="39"/>
    </row>
    <row r="217" spans="1:16" x14ac:dyDescent="0.25">
      <c r="A217">
        <v>2800</v>
      </c>
      <c r="B217" s="150">
        <v>43196</v>
      </c>
      <c r="C217" s="10">
        <v>4800</v>
      </c>
      <c r="D217" s="233">
        <v>15.2</v>
      </c>
      <c r="E217" s="39">
        <v>16.100000000000001</v>
      </c>
      <c r="F217" s="39">
        <f t="shared" si="35"/>
        <v>4320.00000000001</v>
      </c>
      <c r="G217" s="39">
        <f t="shared" si="36"/>
        <v>72960</v>
      </c>
      <c r="H217" s="222">
        <f t="shared" si="37"/>
        <v>5.9210526315789616E-2</v>
      </c>
      <c r="I217" s="39"/>
      <c r="J217" s="39">
        <v>54</v>
      </c>
      <c r="K217" s="39">
        <v>18931</v>
      </c>
      <c r="L217" s="39"/>
      <c r="P217" s="70"/>
    </row>
    <row r="218" spans="1:16" ht="15" customHeight="1" x14ac:dyDescent="0.25">
      <c r="A218">
        <v>2000</v>
      </c>
      <c r="B218" s="150">
        <v>43200</v>
      </c>
      <c r="C218" s="7">
        <v>4000</v>
      </c>
      <c r="D218" s="422">
        <v>14.845000000000001</v>
      </c>
      <c r="E218" s="39">
        <v>17.059999999999999</v>
      </c>
      <c r="F218" s="39">
        <f t="shared" si="35"/>
        <v>8859.9999999999927</v>
      </c>
      <c r="G218" s="39">
        <f t="shared" si="36"/>
        <v>59380</v>
      </c>
      <c r="H218" s="222">
        <f t="shared" si="37"/>
        <v>0.14920848770629827</v>
      </c>
      <c r="I218" s="39"/>
      <c r="J218" s="39"/>
      <c r="K218" s="39">
        <v>23474</v>
      </c>
      <c r="L218" s="39"/>
      <c r="P218" s="70"/>
    </row>
    <row r="219" spans="1:16" x14ac:dyDescent="0.25">
      <c r="A219">
        <v>2000</v>
      </c>
      <c r="B219" s="150">
        <v>43208</v>
      </c>
      <c r="C219" s="10">
        <v>4000</v>
      </c>
      <c r="D219" s="233">
        <v>14.845000000000001</v>
      </c>
      <c r="E219" s="39">
        <v>18.23</v>
      </c>
      <c r="F219" s="39">
        <f t="shared" si="35"/>
        <v>13540</v>
      </c>
      <c r="G219" s="39">
        <f t="shared" si="36"/>
        <v>59380</v>
      </c>
      <c r="H219" s="222">
        <f t="shared" si="37"/>
        <v>0.22802290333445602</v>
      </c>
      <c r="I219" s="39"/>
      <c r="J219" s="39"/>
      <c r="K219" s="39">
        <v>28154</v>
      </c>
      <c r="L219" s="39"/>
    </row>
    <row r="220" spans="1:16" x14ac:dyDescent="0.25">
      <c r="A220">
        <v>2600</v>
      </c>
      <c r="B220" s="150">
        <v>43216</v>
      </c>
      <c r="C220" s="10">
        <v>4000</v>
      </c>
      <c r="D220" s="233">
        <v>14.845000000000001</v>
      </c>
      <c r="E220" s="39">
        <v>18.46</v>
      </c>
      <c r="F220" s="39">
        <f t="shared" si="35"/>
        <v>14460</v>
      </c>
      <c r="G220" s="39">
        <f t="shared" si="36"/>
        <v>59380</v>
      </c>
      <c r="H220" s="222">
        <f t="shared" si="37"/>
        <v>0.24351633546648704</v>
      </c>
      <c r="I220" s="39"/>
      <c r="J220" s="39"/>
      <c r="K220" s="39">
        <v>29075</v>
      </c>
      <c r="L220" s="39"/>
    </row>
    <row r="221" spans="1:16" x14ac:dyDescent="0.25">
      <c r="A221">
        <v>2600</v>
      </c>
      <c r="B221" s="150">
        <v>43217</v>
      </c>
      <c r="C221" s="10">
        <v>4300</v>
      </c>
      <c r="D221" s="233">
        <v>15.0785</v>
      </c>
      <c r="E221" s="39">
        <v>18.11</v>
      </c>
      <c r="F221" s="39">
        <f t="shared" si="35"/>
        <v>13035.449999999997</v>
      </c>
      <c r="G221" s="39">
        <f t="shared" si="36"/>
        <v>64837.55</v>
      </c>
      <c r="H221" s="222">
        <f t="shared" si="37"/>
        <v>0.20104784958716049</v>
      </c>
      <c r="I221" s="39"/>
      <c r="J221" s="39"/>
      <c r="K221" s="39">
        <v>27651</v>
      </c>
      <c r="L221" s="39"/>
    </row>
    <row r="222" spans="1:16" x14ac:dyDescent="0.25">
      <c r="A222">
        <v>2500</v>
      </c>
      <c r="B222" s="150">
        <v>43220</v>
      </c>
      <c r="C222" s="7">
        <v>4000</v>
      </c>
      <c r="D222" s="422">
        <v>14.829000000000001</v>
      </c>
      <c r="E222" s="39">
        <v>18.25</v>
      </c>
      <c r="F222" s="39">
        <f t="shared" si="35"/>
        <v>13683.999999999998</v>
      </c>
      <c r="G222" s="39">
        <f t="shared" si="36"/>
        <v>59316</v>
      </c>
      <c r="H222" s="222">
        <f t="shared" si="37"/>
        <v>0.230696607997842</v>
      </c>
      <c r="I222" s="39"/>
      <c r="J222" s="39"/>
      <c r="K222" s="39">
        <v>28301</v>
      </c>
      <c r="L222" s="39"/>
    </row>
    <row r="223" spans="1:16" x14ac:dyDescent="0.25">
      <c r="A223">
        <v>2400</v>
      </c>
      <c r="B223" s="150">
        <v>43223</v>
      </c>
      <c r="C223" s="10">
        <v>3500</v>
      </c>
      <c r="D223" s="233">
        <v>14.14</v>
      </c>
      <c r="E223" s="39">
        <v>19.440000000000001</v>
      </c>
      <c r="F223" s="39">
        <f t="shared" si="35"/>
        <v>18550.000000000004</v>
      </c>
      <c r="G223" s="39">
        <f t="shared" si="36"/>
        <v>49490</v>
      </c>
      <c r="H223" s="222">
        <f t="shared" si="37"/>
        <v>0.37482319660537483</v>
      </c>
      <c r="I223" s="39"/>
      <c r="J223" s="39"/>
      <c r="K223" s="39">
        <v>32986</v>
      </c>
      <c r="L223" s="39"/>
    </row>
    <row r="224" spans="1:16" x14ac:dyDescent="0.25">
      <c r="A224">
        <v>1900</v>
      </c>
      <c r="B224" s="150">
        <v>43224</v>
      </c>
      <c r="C224" s="10">
        <v>3000</v>
      </c>
      <c r="D224" s="233">
        <v>13.243</v>
      </c>
      <c r="E224" s="39">
        <v>19.72</v>
      </c>
      <c r="F224" s="39">
        <f t="shared" si="35"/>
        <v>19430.999999999996</v>
      </c>
      <c r="G224" s="39">
        <f t="shared" si="36"/>
        <v>39729</v>
      </c>
      <c r="H224" s="222">
        <f t="shared" si="37"/>
        <v>0.48908857509627718</v>
      </c>
      <c r="I224" s="39"/>
      <c r="J224" s="39"/>
      <c r="K224" s="39">
        <v>34045</v>
      </c>
      <c r="L224" s="39"/>
    </row>
    <row r="225" spans="1:17" x14ac:dyDescent="0.25">
      <c r="A225">
        <v>2400</v>
      </c>
      <c r="B225" s="150">
        <v>43227</v>
      </c>
      <c r="C225" s="228">
        <v>3000</v>
      </c>
      <c r="D225" s="827">
        <v>13.17</v>
      </c>
      <c r="E225" s="39">
        <v>19.77</v>
      </c>
      <c r="F225" s="39">
        <f t="shared" si="35"/>
        <v>19800</v>
      </c>
      <c r="G225" s="39">
        <f t="shared" si="36"/>
        <v>39510</v>
      </c>
      <c r="H225" s="222">
        <f t="shared" si="37"/>
        <v>0.50113895216400905</v>
      </c>
      <c r="I225" s="39"/>
      <c r="J225" s="39"/>
      <c r="K225" s="39">
        <v>34414</v>
      </c>
      <c r="L225" s="39"/>
    </row>
    <row r="226" spans="1:17" x14ac:dyDescent="0.25">
      <c r="A226">
        <v>2100</v>
      </c>
      <c r="B226" s="150">
        <v>43229</v>
      </c>
      <c r="C226" s="10">
        <v>2700</v>
      </c>
      <c r="D226" s="233">
        <v>12.3</v>
      </c>
      <c r="E226" s="39">
        <v>21.26</v>
      </c>
      <c r="F226" s="39">
        <f t="shared" si="35"/>
        <v>24192.000000000004</v>
      </c>
      <c r="G226" s="39">
        <f t="shared" si="36"/>
        <v>33210</v>
      </c>
      <c r="H226" s="222">
        <f t="shared" si="37"/>
        <v>0.72845528455284558</v>
      </c>
      <c r="I226" s="39"/>
      <c r="J226" s="39"/>
      <c r="K226" s="39">
        <v>38800</v>
      </c>
      <c r="L226" s="39"/>
    </row>
    <row r="227" spans="1:17" ht="15" customHeight="1" x14ac:dyDescent="0.25">
      <c r="A227">
        <v>1400</v>
      </c>
      <c r="B227" s="150">
        <v>43234</v>
      </c>
      <c r="C227" s="420">
        <v>2000</v>
      </c>
      <c r="D227" s="846">
        <v>9.0908999999999995</v>
      </c>
      <c r="E227" s="39">
        <v>21.42</v>
      </c>
      <c r="F227" s="39">
        <f t="shared" si="35"/>
        <v>24658.200000000004</v>
      </c>
      <c r="G227" s="39">
        <f t="shared" si="36"/>
        <v>18181.8</v>
      </c>
      <c r="H227" s="222">
        <f t="shared" si="37"/>
        <v>1.3562023562023564</v>
      </c>
      <c r="I227" s="39"/>
      <c r="J227" s="39"/>
      <c r="K227" s="39">
        <v>39274</v>
      </c>
      <c r="L227" s="39"/>
    </row>
    <row r="228" spans="1:17" ht="15" customHeight="1" x14ac:dyDescent="0.25">
      <c r="A228">
        <v>400</v>
      </c>
      <c r="B228" s="150">
        <v>43241</v>
      </c>
      <c r="C228" s="10">
        <v>1000</v>
      </c>
      <c r="D228" s="233">
        <v>-3.7</v>
      </c>
      <c r="E228" s="39">
        <v>21.9</v>
      </c>
      <c r="F228" s="39">
        <f t="shared" si="35"/>
        <v>25599.999999999996</v>
      </c>
      <c r="G228" s="39">
        <f t="shared" si="36"/>
        <v>-3700</v>
      </c>
      <c r="H228" s="222">
        <f t="shared" si="37"/>
        <v>-6.9189189189189184</v>
      </c>
      <c r="I228" s="39"/>
      <c r="J228" s="39"/>
      <c r="K228" s="39">
        <v>40213</v>
      </c>
      <c r="L228" s="39"/>
    </row>
    <row r="229" spans="1:17" x14ac:dyDescent="0.25">
      <c r="A229">
        <v>400</v>
      </c>
      <c r="B229" s="150">
        <v>43245</v>
      </c>
      <c r="C229" s="10">
        <v>2000</v>
      </c>
      <c r="D229" s="233">
        <v>8.4410000000000007</v>
      </c>
      <c r="E229" s="39">
        <v>20.329999999999998</v>
      </c>
      <c r="F229" s="39">
        <f t="shared" si="35"/>
        <v>23777.999999999996</v>
      </c>
      <c r="G229" s="39">
        <f t="shared" si="36"/>
        <v>16882</v>
      </c>
      <c r="H229" s="222">
        <f t="shared" si="37"/>
        <v>1.4084824072977131</v>
      </c>
      <c r="I229" s="39"/>
      <c r="J229" s="39"/>
      <c r="K229" s="39">
        <v>38393</v>
      </c>
      <c r="L229" s="39"/>
      <c r="P229" s="1"/>
    </row>
    <row r="230" spans="1:17" x14ac:dyDescent="0.25">
      <c r="A230">
        <v>700</v>
      </c>
      <c r="B230" s="150">
        <v>43250</v>
      </c>
      <c r="C230" s="10">
        <v>2000</v>
      </c>
      <c r="D230" s="233">
        <v>8.4410000000000007</v>
      </c>
      <c r="E230" s="39">
        <v>21.53</v>
      </c>
      <c r="F230" s="39">
        <f t="shared" si="35"/>
        <v>26178</v>
      </c>
      <c r="G230" s="39">
        <f t="shared" si="36"/>
        <v>16882</v>
      </c>
      <c r="H230" s="222">
        <f t="shared" si="37"/>
        <v>1.5506456580973818</v>
      </c>
      <c r="I230" s="39"/>
      <c r="J230" s="39"/>
      <c r="K230" s="39">
        <v>40793</v>
      </c>
      <c r="L230" s="39"/>
      <c r="Q230" s="70"/>
    </row>
    <row r="231" spans="1:17" x14ac:dyDescent="0.25">
      <c r="A231">
        <v>700</v>
      </c>
      <c r="B231" s="150">
        <v>43262</v>
      </c>
      <c r="C231" s="10">
        <v>1700</v>
      </c>
      <c r="D231" s="233">
        <v>6.1519000000000004</v>
      </c>
      <c r="E231" s="39">
        <v>21.47</v>
      </c>
      <c r="F231" s="39">
        <f t="shared" si="35"/>
        <v>26040.769999999997</v>
      </c>
      <c r="G231" s="39">
        <f t="shared" si="36"/>
        <v>10458.230000000001</v>
      </c>
      <c r="H231" s="222">
        <f t="shared" si="37"/>
        <v>2.4899787057656977</v>
      </c>
      <c r="I231" s="39"/>
      <c r="J231" s="39"/>
      <c r="K231" s="39">
        <v>40656</v>
      </c>
      <c r="L231" s="39"/>
      <c r="P231" s="1"/>
    </row>
    <row r="232" spans="1:17" x14ac:dyDescent="0.25">
      <c r="A232">
        <v>700</v>
      </c>
      <c r="B232" s="150">
        <v>43266</v>
      </c>
      <c r="C232" s="423">
        <v>2000</v>
      </c>
      <c r="D232" s="847">
        <v>8.3116000000000003</v>
      </c>
      <c r="E232" s="39">
        <v>19.989999999999998</v>
      </c>
      <c r="F232" s="39">
        <f t="shared" si="35"/>
        <v>23356.799999999996</v>
      </c>
      <c r="G232" s="39">
        <f t="shared" si="36"/>
        <v>16623.2</v>
      </c>
      <c r="H232" s="222">
        <f t="shared" si="37"/>
        <v>1.4050724288945566</v>
      </c>
      <c r="I232" s="39"/>
      <c r="J232" s="39"/>
      <c r="K232" s="39">
        <v>37972</v>
      </c>
      <c r="L232" s="39">
        <v>64.3</v>
      </c>
      <c r="P232" s="1"/>
      <c r="Q232" s="70"/>
    </row>
    <row r="233" spans="1:17" x14ac:dyDescent="0.25">
      <c r="A233">
        <v>700</v>
      </c>
      <c r="B233" s="150">
        <v>43266</v>
      </c>
      <c r="C233" s="10">
        <v>2500</v>
      </c>
      <c r="D233" s="233">
        <v>10.645</v>
      </c>
      <c r="E233" s="39">
        <v>19.989999999999998</v>
      </c>
      <c r="F233" s="39">
        <f t="shared" si="35"/>
        <v>23362.499999999996</v>
      </c>
      <c r="G233" s="39">
        <f t="shared" si="36"/>
        <v>26612.5</v>
      </c>
      <c r="H233" s="222">
        <f t="shared" si="37"/>
        <v>0.87787693752935647</v>
      </c>
      <c r="I233" s="39"/>
      <c r="J233" s="39"/>
      <c r="K233" s="39">
        <v>37978</v>
      </c>
      <c r="L233" s="39"/>
      <c r="P233" s="1"/>
    </row>
    <row r="234" spans="1:17" x14ac:dyDescent="0.25">
      <c r="A234">
        <v>200</v>
      </c>
      <c r="B234" s="150">
        <v>43269</v>
      </c>
      <c r="C234" s="10">
        <v>2000</v>
      </c>
      <c r="D234" s="233">
        <v>8.1714000000000002</v>
      </c>
      <c r="E234" s="39">
        <v>20.32</v>
      </c>
      <c r="F234" s="39">
        <f t="shared" si="35"/>
        <v>24297.200000000001</v>
      </c>
      <c r="G234" s="39">
        <f t="shared" si="36"/>
        <v>16342.800000000001</v>
      </c>
      <c r="H234" s="222">
        <f t="shared" si="37"/>
        <v>1.48672198154539</v>
      </c>
      <c r="I234" s="39"/>
      <c r="J234" s="39"/>
      <c r="K234" s="39">
        <v>38913</v>
      </c>
      <c r="L234" s="39">
        <v>65.62</v>
      </c>
      <c r="P234" s="1"/>
      <c r="Q234" s="70"/>
    </row>
    <row r="235" spans="1:17" x14ac:dyDescent="0.25">
      <c r="A235">
        <v>0</v>
      </c>
      <c r="B235" s="150">
        <v>43271</v>
      </c>
      <c r="C235" s="10">
        <v>1800</v>
      </c>
      <c r="D235" s="233">
        <v>6.7594000000000003</v>
      </c>
      <c r="E235" s="39">
        <v>21.06</v>
      </c>
      <c r="F235" s="39">
        <f t="shared" si="35"/>
        <v>25741.079999999998</v>
      </c>
      <c r="G235" s="39">
        <f t="shared" si="36"/>
        <v>12166.92</v>
      </c>
      <c r="H235" s="222">
        <f t="shared" si="37"/>
        <v>2.1156611533568066</v>
      </c>
      <c r="I235" s="39"/>
      <c r="J235" s="39"/>
      <c r="K235" s="39">
        <v>40357</v>
      </c>
      <c r="L235" s="39">
        <v>65.91</v>
      </c>
      <c r="Q235" s="70"/>
    </row>
    <row r="236" spans="1:17" x14ac:dyDescent="0.25">
      <c r="A236">
        <v>0</v>
      </c>
      <c r="B236" s="150">
        <v>43272</v>
      </c>
      <c r="C236" s="10">
        <v>2000</v>
      </c>
      <c r="D236" s="233">
        <v>8.0879999999999992</v>
      </c>
      <c r="E236" s="39">
        <v>19.920000000000002</v>
      </c>
      <c r="F236" s="39">
        <f t="shared" si="35"/>
        <v>23664.000000000004</v>
      </c>
      <c r="G236" s="39">
        <f t="shared" si="36"/>
        <v>16175.999999999998</v>
      </c>
      <c r="H236" s="222">
        <f t="shared" si="37"/>
        <v>1.4629080118694366</v>
      </c>
      <c r="I236" s="39"/>
      <c r="J236" s="39"/>
      <c r="K236" s="39">
        <v>38279</v>
      </c>
      <c r="L236" s="39">
        <v>69.28</v>
      </c>
      <c r="P236" s="1"/>
    </row>
    <row r="237" spans="1:17" x14ac:dyDescent="0.25">
      <c r="A237">
        <v>1000</v>
      </c>
      <c r="B237" s="150">
        <v>43276</v>
      </c>
      <c r="C237" s="10">
        <v>2200</v>
      </c>
      <c r="D237" s="233">
        <v>9.2149999999999999</v>
      </c>
      <c r="E237" s="39">
        <v>20.3</v>
      </c>
      <c r="F237" s="39">
        <f t="shared" si="35"/>
        <v>24387.000000000004</v>
      </c>
      <c r="G237" s="39">
        <f t="shared" si="36"/>
        <v>20273</v>
      </c>
      <c r="H237" s="222">
        <f t="shared" si="37"/>
        <v>1.202930005425936</v>
      </c>
      <c r="I237" s="39"/>
      <c r="J237" s="39"/>
      <c r="K237" s="39">
        <v>39003</v>
      </c>
      <c r="L237" s="39">
        <v>70.53</v>
      </c>
    </row>
    <row r="238" spans="1:17" x14ac:dyDescent="0.25">
      <c r="A238">
        <v>1000</v>
      </c>
      <c r="B238" s="150">
        <v>43278</v>
      </c>
      <c r="C238" s="10">
        <v>2200</v>
      </c>
      <c r="D238" s="233">
        <v>9.2149999999999999</v>
      </c>
      <c r="E238" s="39">
        <v>21.22</v>
      </c>
      <c r="F238" s="39">
        <f t="shared" si="35"/>
        <v>26410.999999999996</v>
      </c>
      <c r="G238" s="39">
        <f t="shared" si="36"/>
        <v>20273</v>
      </c>
      <c r="H238" s="222">
        <f t="shared" si="37"/>
        <v>1.3027672273467172</v>
      </c>
      <c r="I238" s="39"/>
      <c r="J238" s="39"/>
      <c r="K238" s="39">
        <v>41027</v>
      </c>
      <c r="L238" s="39"/>
    </row>
    <row r="239" spans="1:17" x14ac:dyDescent="0.25">
      <c r="A239">
        <v>1000</v>
      </c>
      <c r="B239" s="150">
        <v>43283</v>
      </c>
      <c r="C239" s="10">
        <v>2200</v>
      </c>
      <c r="D239" s="233">
        <v>9.2149999999999999</v>
      </c>
      <c r="E239" s="39">
        <v>20.66</v>
      </c>
      <c r="F239" s="39">
        <f t="shared" si="35"/>
        <v>25179</v>
      </c>
      <c r="G239" s="39">
        <f t="shared" si="36"/>
        <v>20273</v>
      </c>
      <c r="H239" s="222">
        <f t="shared" si="37"/>
        <v>1.2419967444384157</v>
      </c>
      <c r="I239" s="39"/>
      <c r="J239" s="39"/>
      <c r="K239" s="39">
        <v>39795</v>
      </c>
      <c r="L239" s="39"/>
    </row>
    <row r="240" spans="1:17" x14ac:dyDescent="0.25">
      <c r="A240">
        <v>800</v>
      </c>
      <c r="B240" s="150">
        <v>43284</v>
      </c>
      <c r="C240" s="423">
        <v>2000</v>
      </c>
      <c r="D240" s="847">
        <v>7.9779999999999998</v>
      </c>
      <c r="E240" s="39">
        <v>21</v>
      </c>
      <c r="F240" s="39">
        <f t="shared" si="35"/>
        <v>26044</v>
      </c>
      <c r="G240" s="39">
        <f t="shared" si="36"/>
        <v>15956</v>
      </c>
      <c r="H240" s="222">
        <f t="shared" si="37"/>
        <v>1.6322386563048383</v>
      </c>
      <c r="I240" s="39"/>
      <c r="J240" s="39"/>
      <c r="K240" s="39">
        <v>40659</v>
      </c>
      <c r="L240" s="39"/>
    </row>
    <row r="241" spans="1:12" x14ac:dyDescent="0.25">
      <c r="B241" s="150">
        <v>43286</v>
      </c>
      <c r="C241" s="10">
        <v>2200</v>
      </c>
      <c r="D241" s="233">
        <v>9.1513000000000009</v>
      </c>
      <c r="E241" s="39">
        <v>20.88</v>
      </c>
      <c r="F241" s="39">
        <f t="shared" si="35"/>
        <v>25803.139999999996</v>
      </c>
      <c r="G241" s="39">
        <f t="shared" si="36"/>
        <v>20132.86</v>
      </c>
      <c r="H241" s="222">
        <f t="shared" si="37"/>
        <v>1.2816430452504013</v>
      </c>
      <c r="I241" s="39"/>
      <c r="J241" s="39"/>
      <c r="K241" s="39">
        <v>40419</v>
      </c>
      <c r="L241" s="39"/>
    </row>
    <row r="242" spans="1:12" ht="15" customHeight="1" x14ac:dyDescent="0.25">
      <c r="A242">
        <v>800</v>
      </c>
      <c r="B242" s="150">
        <v>43286</v>
      </c>
      <c r="C242" s="10">
        <v>2500</v>
      </c>
      <c r="D242" s="233">
        <v>10.535</v>
      </c>
      <c r="E242" s="39">
        <v>20.7</v>
      </c>
      <c r="F242" s="39">
        <f t="shared" si="35"/>
        <v>25412.499999999996</v>
      </c>
      <c r="G242" s="39">
        <f t="shared" si="36"/>
        <v>26337.5</v>
      </c>
      <c r="H242" s="222">
        <f t="shared" si="37"/>
        <v>0.96487897484575214</v>
      </c>
      <c r="I242" s="39"/>
      <c r="J242" s="39"/>
      <c r="K242" s="39">
        <v>40028</v>
      </c>
      <c r="L242" s="39"/>
    </row>
    <row r="243" spans="1:12" ht="18.75" customHeight="1" x14ac:dyDescent="0.25">
      <c r="A243">
        <v>300</v>
      </c>
      <c r="B243" s="150">
        <v>43287</v>
      </c>
      <c r="C243" s="423">
        <v>2000</v>
      </c>
      <c r="D243" s="847">
        <v>7.9015000000000004</v>
      </c>
      <c r="E243" s="39">
        <v>21.07</v>
      </c>
      <c r="F243" s="39">
        <f t="shared" si="35"/>
        <v>26337</v>
      </c>
      <c r="G243" s="39">
        <f t="shared" si="36"/>
        <v>15803</v>
      </c>
      <c r="H243" s="222">
        <f t="shared" si="37"/>
        <v>1.666582294501044</v>
      </c>
      <c r="I243" s="39"/>
      <c r="J243" s="39"/>
      <c r="K243" s="39">
        <v>40952</v>
      </c>
      <c r="L243" s="39"/>
    </row>
    <row r="244" spans="1:12" x14ac:dyDescent="0.25">
      <c r="A244">
        <v>0</v>
      </c>
      <c r="B244" s="150">
        <v>43290</v>
      </c>
      <c r="C244" s="10">
        <v>1700</v>
      </c>
      <c r="D244" s="233">
        <v>5.4859999999999998</v>
      </c>
      <c r="E244" s="39">
        <v>21.75</v>
      </c>
      <c r="F244" s="39">
        <f t="shared" si="35"/>
        <v>27648.799999999999</v>
      </c>
      <c r="G244" s="39">
        <f t="shared" si="36"/>
        <v>9326.1999999999989</v>
      </c>
      <c r="H244" s="222">
        <f t="shared" si="37"/>
        <v>2.9646372584761211</v>
      </c>
      <c r="I244" s="39"/>
      <c r="J244" s="39"/>
      <c r="K244" s="39">
        <v>42264</v>
      </c>
      <c r="L244" s="39"/>
    </row>
    <row r="245" spans="1:12" x14ac:dyDescent="0.25">
      <c r="A245">
        <v>0</v>
      </c>
      <c r="B245" s="150">
        <v>43292</v>
      </c>
      <c r="C245" s="423">
        <v>2000</v>
      </c>
      <c r="D245" s="847">
        <v>7.8579999999999997</v>
      </c>
      <c r="E245" s="39">
        <v>21.2</v>
      </c>
      <c r="F245" s="39">
        <f t="shared" si="35"/>
        <v>26683.999999999996</v>
      </c>
      <c r="G245" s="39">
        <f t="shared" si="36"/>
        <v>15716</v>
      </c>
      <c r="H245" s="222">
        <f t="shared" si="37"/>
        <v>1.6978875031814711</v>
      </c>
      <c r="I245" s="39"/>
      <c r="J245" s="39"/>
      <c r="K245" s="39">
        <v>41299</v>
      </c>
      <c r="L245" s="39"/>
    </row>
    <row r="246" spans="1:12" x14ac:dyDescent="0.25">
      <c r="B246" s="150">
        <v>43297</v>
      </c>
      <c r="C246" s="10">
        <v>2500</v>
      </c>
      <c r="D246" s="233">
        <v>10.362</v>
      </c>
      <c r="E246" s="39">
        <v>19.850000000000001</v>
      </c>
      <c r="F246" s="39">
        <f t="shared" si="35"/>
        <v>23720.000000000004</v>
      </c>
      <c r="G246" s="39">
        <f t="shared" si="36"/>
        <v>25905</v>
      </c>
      <c r="H246" s="222">
        <f t="shared" si="37"/>
        <v>0.91565334877436799</v>
      </c>
      <c r="I246" s="39"/>
      <c r="J246" s="39"/>
      <c r="K246" s="39">
        <v>38334</v>
      </c>
      <c r="L246" s="39"/>
    </row>
    <row r="247" spans="1:12" x14ac:dyDescent="0.25">
      <c r="A247">
        <v>800</v>
      </c>
      <c r="B247" s="150">
        <v>43297</v>
      </c>
      <c r="C247" s="228">
        <v>3000</v>
      </c>
      <c r="D247" s="827">
        <v>11.96</v>
      </c>
      <c r="E247" s="39">
        <v>19.850000000000001</v>
      </c>
      <c r="F247" s="39">
        <f t="shared" ref="F247:F250" si="38">C247*(E247-D247)</f>
        <v>23670</v>
      </c>
      <c r="G247" s="39">
        <f t="shared" ref="G247:G250" si="39">D247*C247</f>
        <v>35880</v>
      </c>
      <c r="H247" s="222">
        <f t="shared" ref="H247:H250" si="40">(E247-D247)/D247</f>
        <v>0.65969899665551834</v>
      </c>
      <c r="I247" s="39"/>
      <c r="J247" s="39"/>
      <c r="K247" s="39">
        <v>38284</v>
      </c>
      <c r="L247" s="39"/>
    </row>
    <row r="248" spans="1:12" x14ac:dyDescent="0.25">
      <c r="A248">
        <v>300</v>
      </c>
      <c r="B248" s="150">
        <v>43299</v>
      </c>
      <c r="C248" s="10">
        <v>2500</v>
      </c>
      <c r="D248" s="233">
        <v>10.27</v>
      </c>
      <c r="E248" s="39">
        <v>20.420000000000002</v>
      </c>
      <c r="F248" s="39">
        <f t="shared" si="38"/>
        <v>25375.000000000004</v>
      </c>
      <c r="G248" s="39">
        <f t="shared" si="39"/>
        <v>25675</v>
      </c>
      <c r="H248" s="222">
        <f t="shared" si="40"/>
        <v>0.98831548198636832</v>
      </c>
      <c r="I248" s="39"/>
      <c r="J248" s="39"/>
      <c r="K248" s="39">
        <v>39994</v>
      </c>
      <c r="L248" s="39">
        <v>68.81</v>
      </c>
    </row>
    <row r="249" spans="1:12" x14ac:dyDescent="0.25">
      <c r="A249">
        <v>0</v>
      </c>
      <c r="B249" s="150">
        <v>43300</v>
      </c>
      <c r="C249" s="10">
        <v>2200</v>
      </c>
      <c r="D249" s="233">
        <v>8.8620000000000001</v>
      </c>
      <c r="E249" s="39">
        <v>20.54</v>
      </c>
      <c r="F249" s="39">
        <f t="shared" si="38"/>
        <v>25691.599999999999</v>
      </c>
      <c r="G249" s="39">
        <f t="shared" si="39"/>
        <v>19496.400000000001</v>
      </c>
      <c r="H249" s="222">
        <f t="shared" si="40"/>
        <v>1.3177612277138342</v>
      </c>
      <c r="I249" s="39"/>
      <c r="J249" s="39"/>
      <c r="K249" s="39">
        <v>40306</v>
      </c>
      <c r="L249" s="39">
        <v>69.405000000000001</v>
      </c>
    </row>
    <row r="250" spans="1:12" x14ac:dyDescent="0.25">
      <c r="A250">
        <v>0</v>
      </c>
      <c r="B250" s="150">
        <v>43305</v>
      </c>
      <c r="C250" s="423">
        <v>2000</v>
      </c>
      <c r="D250" s="847">
        <v>7.6566000000000001</v>
      </c>
      <c r="E250" s="39">
        <v>20.92</v>
      </c>
      <c r="F250" s="39">
        <f t="shared" si="38"/>
        <v>26526.800000000003</v>
      </c>
      <c r="G250" s="39">
        <f t="shared" si="39"/>
        <v>15313.2</v>
      </c>
      <c r="H250" s="222">
        <f t="shared" si="40"/>
        <v>1.732283258887757</v>
      </c>
      <c r="I250" s="39"/>
      <c r="J250" s="39"/>
      <c r="K250" s="39">
        <v>41142</v>
      </c>
      <c r="L250" s="39">
        <v>68.83</v>
      </c>
    </row>
    <row r="251" spans="1:12" x14ac:dyDescent="0.25">
      <c r="A251">
        <v>200</v>
      </c>
      <c r="B251" s="150">
        <v>43307</v>
      </c>
      <c r="C251" s="10">
        <v>2000</v>
      </c>
      <c r="D251" s="233">
        <v>7.657</v>
      </c>
      <c r="E251" s="39">
        <v>21.24</v>
      </c>
      <c r="F251" s="39">
        <f t="shared" ref="F251" si="41">C251*(E251-D251)</f>
        <v>27165.999999999996</v>
      </c>
      <c r="G251" s="39">
        <f t="shared" ref="G251" si="42">D251*C251</f>
        <v>15314</v>
      </c>
      <c r="H251" s="222">
        <f t="shared" ref="H251" si="43">(E251-D251)/D251</f>
        <v>1.7739323494841319</v>
      </c>
      <c r="I251" s="39"/>
      <c r="J251" s="39"/>
      <c r="K251" s="39">
        <v>41782</v>
      </c>
      <c r="L251" s="39">
        <v>69.52</v>
      </c>
    </row>
    <row r="252" spans="1:12" x14ac:dyDescent="0.25">
      <c r="A252">
        <v>200</v>
      </c>
      <c r="B252" s="150">
        <v>43308</v>
      </c>
      <c r="C252" s="10">
        <v>2000</v>
      </c>
      <c r="D252" s="233">
        <v>7.657</v>
      </c>
      <c r="E252" s="39">
        <v>20.83</v>
      </c>
      <c r="F252" s="39">
        <f t="shared" ref="F252" si="44">C252*(E252-D252)</f>
        <v>26345.999999999996</v>
      </c>
      <c r="G252" s="39">
        <f t="shared" ref="G252" si="45">D252*C252</f>
        <v>15314</v>
      </c>
      <c r="H252" s="222">
        <f t="shared" ref="H252" si="46">(E252-D252)/D252</f>
        <v>1.7203865743763873</v>
      </c>
      <c r="I252" s="39"/>
      <c r="J252" s="39"/>
      <c r="K252" s="39">
        <v>40962</v>
      </c>
      <c r="L252" s="39">
        <v>68.849999999999994</v>
      </c>
    </row>
    <row r="253" spans="1:12" x14ac:dyDescent="0.25">
      <c r="B253" s="150"/>
      <c r="C253" s="10"/>
      <c r="D253" s="233"/>
      <c r="E253" s="39"/>
      <c r="F253" s="39"/>
      <c r="G253" s="39"/>
      <c r="H253" s="222"/>
      <c r="I253" s="39"/>
      <c r="J253" s="39"/>
      <c r="K253" s="39"/>
      <c r="L253" s="39"/>
    </row>
    <row r="254" spans="1:12" x14ac:dyDescent="0.25">
      <c r="B254" s="150"/>
      <c r="C254" s="10"/>
      <c r="D254" s="233"/>
      <c r="E254" s="39"/>
      <c r="F254" s="39"/>
      <c r="G254" s="39"/>
      <c r="H254" s="222"/>
      <c r="I254" s="39"/>
      <c r="J254" s="39"/>
      <c r="K254" s="39"/>
      <c r="L254" s="39"/>
    </row>
    <row r="255" spans="1:12" x14ac:dyDescent="0.25">
      <c r="B255" s="150"/>
      <c r="C255" s="10"/>
      <c r="D255" s="233"/>
      <c r="E255" s="39"/>
      <c r="F255" s="39"/>
      <c r="G255" s="39"/>
      <c r="H255" s="222"/>
      <c r="I255" s="39"/>
      <c r="J255" s="39"/>
      <c r="K255" s="39"/>
      <c r="L255" s="39"/>
    </row>
    <row r="256" spans="1:12" x14ac:dyDescent="0.25">
      <c r="B256" s="150"/>
      <c r="C256" s="10"/>
      <c r="D256" s="233"/>
      <c r="E256" s="39"/>
      <c r="F256" s="39"/>
      <c r="G256" s="39"/>
      <c r="H256" s="222"/>
      <c r="I256" s="39"/>
      <c r="J256" s="39"/>
      <c r="K256" s="39"/>
      <c r="L256" s="39"/>
    </row>
    <row r="257" spans="2:12" x14ac:dyDescent="0.25">
      <c r="B257" s="150"/>
      <c r="C257" s="10"/>
      <c r="D257" s="233"/>
      <c r="E257" s="39"/>
      <c r="F257" s="39"/>
      <c r="G257" s="39"/>
      <c r="H257" s="222"/>
      <c r="I257" s="39"/>
      <c r="J257" s="39"/>
      <c r="K257" s="39"/>
      <c r="L257" s="39"/>
    </row>
    <row r="258" spans="2:12" x14ac:dyDescent="0.25">
      <c r="B258" s="150"/>
      <c r="C258" s="10"/>
      <c r="D258" s="233"/>
      <c r="E258" s="39"/>
      <c r="F258" s="39"/>
      <c r="G258" s="39"/>
      <c r="H258" s="222"/>
      <c r="I258" s="39"/>
      <c r="J258" s="39"/>
      <c r="K258" s="39"/>
      <c r="L258" s="39"/>
    </row>
    <row r="259" spans="2:12" x14ac:dyDescent="0.25">
      <c r="B259" s="150"/>
      <c r="C259" s="10"/>
      <c r="D259" s="233"/>
      <c r="E259" s="39"/>
      <c r="F259" s="39"/>
      <c r="G259" s="39"/>
      <c r="H259" s="222"/>
      <c r="I259" s="39"/>
      <c r="J259" s="39"/>
      <c r="K259" s="39"/>
      <c r="L259" s="39"/>
    </row>
    <row r="260" spans="2:12" x14ac:dyDescent="0.25">
      <c r="B260" s="150"/>
      <c r="C260" s="10"/>
      <c r="D260" s="233"/>
      <c r="E260" s="39"/>
      <c r="F260" s="39"/>
      <c r="G260" s="39"/>
      <c r="H260" s="222"/>
      <c r="I260" s="39"/>
      <c r="J260" s="39"/>
      <c r="K260" s="39"/>
      <c r="L260" s="39"/>
    </row>
    <row r="261" spans="2:12" x14ac:dyDescent="0.25">
      <c r="B261" s="150"/>
      <c r="C261" s="10"/>
      <c r="D261" s="233"/>
      <c r="E261" s="39"/>
      <c r="F261" s="39"/>
      <c r="G261" s="39"/>
      <c r="H261" s="222"/>
      <c r="I261" s="39"/>
      <c r="J261" s="39"/>
      <c r="K261" s="39"/>
      <c r="L261" s="39"/>
    </row>
    <row r="262" spans="2:12" x14ac:dyDescent="0.25">
      <c r="B262" s="150"/>
      <c r="C262" s="10"/>
      <c r="D262" s="233"/>
      <c r="E262" s="39"/>
      <c r="F262" s="39"/>
      <c r="G262" s="39"/>
      <c r="H262" s="222"/>
      <c r="I262" s="39"/>
      <c r="J262" s="39"/>
      <c r="K262" s="39"/>
      <c r="L262" s="39"/>
    </row>
    <row r="263" spans="2:12" x14ac:dyDescent="0.25">
      <c r="B263" s="150"/>
      <c r="C263" s="10"/>
      <c r="D263" s="233"/>
      <c r="E263" s="39"/>
      <c r="F263" s="39"/>
      <c r="G263" s="39"/>
      <c r="H263" s="222"/>
      <c r="I263" s="39"/>
      <c r="J263" s="39"/>
      <c r="K263" s="39"/>
      <c r="L263" s="39"/>
    </row>
    <row r="264" spans="2:12" x14ac:dyDescent="0.25">
      <c r="B264" s="150"/>
      <c r="C264" s="10"/>
      <c r="D264" s="233"/>
      <c r="E264" s="39"/>
      <c r="F264" s="39"/>
      <c r="G264" s="39"/>
      <c r="H264" s="222"/>
      <c r="I264" s="39"/>
      <c r="J264" s="39"/>
      <c r="K264" s="39"/>
      <c r="L264" s="39"/>
    </row>
    <row r="266" spans="2:12" x14ac:dyDescent="0.25">
      <c r="B266" s="618" t="s">
        <v>113</v>
      </c>
      <c r="C266" s="484" t="s">
        <v>146</v>
      </c>
      <c r="D266" s="619" t="s">
        <v>145</v>
      </c>
      <c r="E266" s="486" t="s">
        <v>147</v>
      </c>
      <c r="F266" s="487" t="s">
        <v>65</v>
      </c>
      <c r="G266" s="488" t="s">
        <v>151</v>
      </c>
      <c r="H266" s="487" t="s">
        <v>88</v>
      </c>
      <c r="I266" s="488" t="s">
        <v>154</v>
      </c>
    </row>
    <row r="267" spans="2:12" x14ac:dyDescent="0.25">
      <c r="B267" s="620">
        <v>42305</v>
      </c>
      <c r="C267" s="362">
        <v>2000</v>
      </c>
      <c r="D267" s="621">
        <v>34.06</v>
      </c>
      <c r="E267" s="363">
        <v>17.68</v>
      </c>
      <c r="F267" s="363">
        <v>-32767.45</v>
      </c>
      <c r="G267" s="363">
        <f t="shared" ref="G267:G273" si="47">IF(C267=0, 0,D267*C267)</f>
        <v>68120</v>
      </c>
      <c r="H267" s="365">
        <f t="shared" ref="H267:H273" si="48">IF(C267=0, D267, (E267-D267)/D267)</f>
        <v>-0.48091603053435117</v>
      </c>
      <c r="I267" s="363"/>
    </row>
    <row r="268" spans="2:12" x14ac:dyDescent="0.25">
      <c r="B268" s="620">
        <v>42307</v>
      </c>
      <c r="C268" s="362">
        <v>0</v>
      </c>
      <c r="D268" s="621" t="s">
        <v>128</v>
      </c>
      <c r="E268" s="363">
        <v>17.55</v>
      </c>
      <c r="F268" s="363">
        <v>-30722.2</v>
      </c>
      <c r="G268" s="363">
        <f t="shared" si="47"/>
        <v>0</v>
      </c>
      <c r="H268" s="365" t="str">
        <f t="shared" si="48"/>
        <v>N/A</v>
      </c>
      <c r="I268" s="363"/>
    </row>
    <row r="269" spans="2:12" x14ac:dyDescent="0.25">
      <c r="B269" s="620">
        <v>42310</v>
      </c>
      <c r="C269" s="362">
        <v>0</v>
      </c>
      <c r="D269" s="621" t="s">
        <v>128</v>
      </c>
      <c r="E269" s="363">
        <v>19.010000000000002</v>
      </c>
      <c r="F269" s="363">
        <v>-30693.25</v>
      </c>
      <c r="G269" s="363">
        <f t="shared" si="47"/>
        <v>0</v>
      </c>
      <c r="H269" s="365" t="str">
        <f t="shared" si="48"/>
        <v>N/A</v>
      </c>
      <c r="I269" s="363"/>
    </row>
    <row r="270" spans="2:12" x14ac:dyDescent="0.25">
      <c r="B270" s="620">
        <v>42314</v>
      </c>
      <c r="C270" s="362">
        <v>2500</v>
      </c>
      <c r="D270" s="621">
        <v>30.24</v>
      </c>
      <c r="E270" s="363">
        <v>18.29</v>
      </c>
      <c r="F270" s="363">
        <v>-29878.25</v>
      </c>
      <c r="G270" s="363">
        <f t="shared" si="47"/>
        <v>75600</v>
      </c>
      <c r="H270" s="365">
        <f t="shared" si="48"/>
        <v>-0.39517195767195767</v>
      </c>
      <c r="I270" s="363"/>
    </row>
    <row r="271" spans="2:12" x14ac:dyDescent="0.25">
      <c r="B271" s="620">
        <v>42318</v>
      </c>
      <c r="C271" s="362">
        <v>0</v>
      </c>
      <c r="D271" s="621" t="s">
        <v>128</v>
      </c>
      <c r="E271" s="363">
        <v>18.78</v>
      </c>
      <c r="F271" s="363">
        <v>-28604.09</v>
      </c>
      <c r="G271" s="363">
        <f t="shared" si="47"/>
        <v>0</v>
      </c>
      <c r="H271" s="365" t="str">
        <f t="shared" si="48"/>
        <v>N/A</v>
      </c>
      <c r="I271" s="363"/>
    </row>
    <row r="272" spans="2:12" x14ac:dyDescent="0.25">
      <c r="B272" s="620">
        <v>42328</v>
      </c>
      <c r="C272" s="362">
        <v>3078</v>
      </c>
      <c r="D272" s="621">
        <v>26.76</v>
      </c>
      <c r="E272" s="363">
        <v>17.440000000000001</v>
      </c>
      <c r="F272" s="363">
        <v>-28696.448999999906</v>
      </c>
      <c r="G272" s="363">
        <f t="shared" si="47"/>
        <v>82367.28</v>
      </c>
      <c r="H272" s="365">
        <f t="shared" si="48"/>
        <v>-0.34828101644245141</v>
      </c>
      <c r="I272" s="363"/>
    </row>
    <row r="273" spans="2:9" x14ac:dyDescent="0.25">
      <c r="B273" s="620">
        <v>42331</v>
      </c>
      <c r="C273" s="362">
        <v>0</v>
      </c>
      <c r="D273" s="621" t="s">
        <v>128</v>
      </c>
      <c r="E273" s="363">
        <v>17.53</v>
      </c>
      <c r="F273" s="363">
        <v>-28051.068999999901</v>
      </c>
      <c r="G273" s="363">
        <f t="shared" si="47"/>
        <v>0</v>
      </c>
      <c r="H273" s="365" t="str">
        <f t="shared" si="48"/>
        <v>N/A</v>
      </c>
      <c r="I273" s="363"/>
    </row>
    <row r="274" spans="2:9" x14ac:dyDescent="0.25">
      <c r="B274" s="620">
        <v>42335</v>
      </c>
      <c r="C274" s="362">
        <v>3078</v>
      </c>
      <c r="D274" s="621">
        <v>26.85</v>
      </c>
      <c r="E274" s="363">
        <v>17.73</v>
      </c>
      <c r="F274" s="363">
        <f>C274*(E274-D274)</f>
        <v>-28071.360000000004</v>
      </c>
      <c r="G274" s="363">
        <f>D274*C274</f>
        <v>82644.3</v>
      </c>
      <c r="H274" s="364">
        <f>(E274-D274)/D274</f>
        <v>-0.33966480446927377</v>
      </c>
      <c r="I274" s="363"/>
    </row>
    <row r="275" spans="2:9" x14ac:dyDescent="0.25">
      <c r="B275" s="620">
        <v>42335</v>
      </c>
      <c r="C275" s="362">
        <v>3578</v>
      </c>
      <c r="D275" s="621">
        <v>25.55</v>
      </c>
      <c r="E275" s="363">
        <v>17.440000000000001</v>
      </c>
      <c r="F275" s="363">
        <f t="shared" ref="F275:F306" si="49">C275*(E275-D275)</f>
        <v>-29017.579999999998</v>
      </c>
      <c r="G275" s="363">
        <f t="shared" ref="G275:G304" si="50">D275*C275</f>
        <v>91417.900000000009</v>
      </c>
      <c r="H275" s="364">
        <f t="shared" ref="H275:H304" si="51">(E275-D275)/D275</f>
        <v>-0.31741682974559682</v>
      </c>
      <c r="I275" s="363"/>
    </row>
    <row r="276" spans="2:9" x14ac:dyDescent="0.25">
      <c r="B276" s="620">
        <v>42340</v>
      </c>
      <c r="C276" s="362">
        <v>4178</v>
      </c>
      <c r="D276" s="621">
        <v>24.29</v>
      </c>
      <c r="E276" s="363">
        <v>16.670000000000002</v>
      </c>
      <c r="F276" s="363">
        <f t="shared" si="49"/>
        <v>-31836.35999999999</v>
      </c>
      <c r="G276" s="363">
        <f t="shared" si="50"/>
        <v>101483.62</v>
      </c>
      <c r="H276" s="364">
        <f t="shared" si="51"/>
        <v>-0.31370934540963352</v>
      </c>
      <c r="I276" s="363"/>
    </row>
    <row r="277" spans="2:9" x14ac:dyDescent="0.25">
      <c r="B277" s="620">
        <v>42342</v>
      </c>
      <c r="C277" s="362">
        <v>4678</v>
      </c>
      <c r="D277" s="621">
        <v>23.39</v>
      </c>
      <c r="E277" s="363">
        <v>16.12</v>
      </c>
      <c r="F277" s="363">
        <f t="shared" si="49"/>
        <v>-34009.06</v>
      </c>
      <c r="G277" s="363">
        <f t="shared" si="50"/>
        <v>109418.42</v>
      </c>
      <c r="H277" s="364">
        <f t="shared" si="51"/>
        <v>-0.31081658828559211</v>
      </c>
      <c r="I277" s="363"/>
    </row>
    <row r="278" spans="2:9" x14ac:dyDescent="0.25">
      <c r="B278" s="620">
        <v>42342</v>
      </c>
      <c r="C278" s="362">
        <v>4178</v>
      </c>
      <c r="D278" s="621">
        <v>24.26</v>
      </c>
      <c r="E278" s="363">
        <v>16.12</v>
      </c>
      <c r="F278" s="363">
        <f t="shared" si="49"/>
        <v>-34008.920000000006</v>
      </c>
      <c r="G278" s="363">
        <f t="shared" si="50"/>
        <v>101358.28000000001</v>
      </c>
      <c r="H278" s="364">
        <f t="shared" si="51"/>
        <v>-0.33553173948887055</v>
      </c>
      <c r="I278" s="363"/>
    </row>
    <row r="279" spans="2:9" x14ac:dyDescent="0.25">
      <c r="B279" s="620">
        <v>42345</v>
      </c>
      <c r="C279" s="362">
        <v>4678</v>
      </c>
      <c r="D279" s="621">
        <v>23.24</v>
      </c>
      <c r="E279" s="363">
        <v>14.78</v>
      </c>
      <c r="F279" s="363">
        <f t="shared" si="49"/>
        <v>-39575.879999999997</v>
      </c>
      <c r="G279" s="363">
        <f t="shared" si="50"/>
        <v>108716.71999999999</v>
      </c>
      <c r="H279" s="364">
        <f t="shared" si="51"/>
        <v>-0.36402753872633387</v>
      </c>
      <c r="I279" s="363"/>
    </row>
    <row r="280" spans="2:9" x14ac:dyDescent="0.25">
      <c r="B280" s="620">
        <v>42347</v>
      </c>
      <c r="C280" s="362">
        <v>4778</v>
      </c>
      <c r="D280" s="621">
        <v>23.06</v>
      </c>
      <c r="E280" s="363">
        <v>14.92</v>
      </c>
      <c r="F280" s="363">
        <f t="shared" si="49"/>
        <v>-38892.919999999991</v>
      </c>
      <c r="G280" s="363">
        <f t="shared" si="50"/>
        <v>110180.68</v>
      </c>
      <c r="H280" s="364">
        <f t="shared" si="51"/>
        <v>-0.3529921942758022</v>
      </c>
      <c r="I280" s="363"/>
    </row>
    <row r="281" spans="2:9" x14ac:dyDescent="0.25">
      <c r="B281" s="620">
        <v>42348</v>
      </c>
      <c r="C281" s="362">
        <v>4178</v>
      </c>
      <c r="D281" s="621">
        <v>24.23</v>
      </c>
      <c r="E281" s="363">
        <v>14.74</v>
      </c>
      <c r="F281" s="363">
        <f t="shared" si="49"/>
        <v>-39649.22</v>
      </c>
      <c r="G281" s="363">
        <f t="shared" si="50"/>
        <v>101232.94</v>
      </c>
      <c r="H281" s="364">
        <f t="shared" si="51"/>
        <v>-0.39166322740404458</v>
      </c>
      <c r="I281" s="363"/>
    </row>
    <row r="282" spans="2:9" x14ac:dyDescent="0.25">
      <c r="B282" s="620">
        <v>42349</v>
      </c>
      <c r="C282" s="362">
        <v>3678</v>
      </c>
      <c r="D282" s="621">
        <v>25.57</v>
      </c>
      <c r="E282" s="363">
        <v>14.34</v>
      </c>
      <c r="F282" s="363">
        <f t="shared" si="49"/>
        <v>-41303.94</v>
      </c>
      <c r="G282" s="363">
        <f t="shared" si="50"/>
        <v>94046.46</v>
      </c>
      <c r="H282" s="364">
        <f t="shared" si="51"/>
        <v>-0.43918654673445445</v>
      </c>
      <c r="I282" s="363"/>
    </row>
    <row r="283" spans="2:9" x14ac:dyDescent="0.25">
      <c r="B283" s="620">
        <v>42352</v>
      </c>
      <c r="C283" s="362">
        <v>4178</v>
      </c>
      <c r="D283" s="621">
        <v>24.18</v>
      </c>
      <c r="E283" s="363">
        <v>13.96</v>
      </c>
      <c r="F283" s="363">
        <f t="shared" si="49"/>
        <v>-42699.159999999996</v>
      </c>
      <c r="G283" s="363">
        <f t="shared" si="50"/>
        <v>101024.04</v>
      </c>
      <c r="H283" s="364">
        <f t="shared" si="51"/>
        <v>-0.42266335814722905</v>
      </c>
      <c r="I283" s="363"/>
    </row>
    <row r="284" spans="2:9" x14ac:dyDescent="0.25">
      <c r="B284" s="620">
        <v>42355</v>
      </c>
      <c r="C284" s="362">
        <v>4678</v>
      </c>
      <c r="D284" s="621">
        <v>22.98</v>
      </c>
      <c r="E284" s="363">
        <v>12.78</v>
      </c>
      <c r="F284" s="363">
        <f t="shared" si="49"/>
        <v>-47715.600000000006</v>
      </c>
      <c r="G284" s="363">
        <f t="shared" si="50"/>
        <v>107500.44</v>
      </c>
      <c r="H284" s="364">
        <f t="shared" si="51"/>
        <v>-0.44386422976501311</v>
      </c>
      <c r="I284" s="363"/>
    </row>
    <row r="285" spans="2:9" x14ac:dyDescent="0.25">
      <c r="B285" s="620">
        <v>42356</v>
      </c>
      <c r="C285" s="362">
        <v>5178</v>
      </c>
      <c r="D285" s="621">
        <v>21.99</v>
      </c>
      <c r="E285" s="363">
        <v>12.95</v>
      </c>
      <c r="F285" s="363">
        <f t="shared" si="49"/>
        <v>-46809.119999999995</v>
      </c>
      <c r="G285" s="363">
        <f t="shared" si="50"/>
        <v>113864.21999999999</v>
      </c>
      <c r="H285" s="364">
        <f t="shared" si="51"/>
        <v>-0.41109595270577537</v>
      </c>
      <c r="I285" s="363"/>
    </row>
    <row r="286" spans="2:9" x14ac:dyDescent="0.25">
      <c r="B286" s="620">
        <v>42356</v>
      </c>
      <c r="C286" s="362">
        <v>6178</v>
      </c>
      <c r="D286" s="621">
        <v>20.48</v>
      </c>
      <c r="E286" s="363">
        <v>12.76</v>
      </c>
      <c r="F286" s="363">
        <f t="shared" si="49"/>
        <v>-47694.16</v>
      </c>
      <c r="G286" s="363">
        <f t="shared" si="50"/>
        <v>126525.44</v>
      </c>
      <c r="H286" s="364">
        <f t="shared" si="51"/>
        <v>-0.376953125</v>
      </c>
      <c r="I286" s="363"/>
    </row>
    <row r="287" spans="2:9" x14ac:dyDescent="0.25">
      <c r="B287" s="620">
        <v>42356</v>
      </c>
      <c r="C287" s="362">
        <v>6400</v>
      </c>
      <c r="D287" s="621">
        <v>20.2</v>
      </c>
      <c r="E287" s="363">
        <v>12.68</v>
      </c>
      <c r="F287" s="363">
        <f t="shared" si="49"/>
        <v>-48128</v>
      </c>
      <c r="G287" s="363">
        <f t="shared" si="50"/>
        <v>129280</v>
      </c>
      <c r="H287" s="364">
        <f t="shared" si="51"/>
        <v>-0.37227722772277227</v>
      </c>
      <c r="I287" s="363"/>
    </row>
    <row r="288" spans="2:9" x14ac:dyDescent="0.25">
      <c r="B288" s="620">
        <v>42359</v>
      </c>
      <c r="C288" s="362">
        <v>5178</v>
      </c>
      <c r="D288" s="621">
        <v>21.96</v>
      </c>
      <c r="E288" s="363">
        <v>12.66</v>
      </c>
      <c r="F288" s="363">
        <f t="shared" si="49"/>
        <v>-48155.4</v>
      </c>
      <c r="G288" s="363">
        <f t="shared" si="50"/>
        <v>113708.88</v>
      </c>
      <c r="H288" s="364">
        <f t="shared" si="51"/>
        <v>-0.42349726775956287</v>
      </c>
      <c r="I288" s="363"/>
    </row>
    <row r="289" spans="2:14" x14ac:dyDescent="0.25">
      <c r="B289" s="620">
        <v>42361</v>
      </c>
      <c r="C289" s="362">
        <v>4178</v>
      </c>
      <c r="D289" s="621">
        <v>24.07</v>
      </c>
      <c r="E289" s="363">
        <v>13.96</v>
      </c>
      <c r="F289" s="363">
        <f t="shared" si="49"/>
        <v>-42239.579999999994</v>
      </c>
      <c r="G289" s="363">
        <f t="shared" si="50"/>
        <v>100564.46</v>
      </c>
      <c r="H289" s="364">
        <f t="shared" si="51"/>
        <v>-0.42002492729538843</v>
      </c>
      <c r="I289" s="363"/>
    </row>
    <row r="290" spans="2:14" x14ac:dyDescent="0.25">
      <c r="B290" s="620">
        <v>42361</v>
      </c>
      <c r="C290" s="362">
        <v>4178</v>
      </c>
      <c r="D290" s="621">
        <v>24.03</v>
      </c>
      <c r="E290" s="363">
        <v>13.96</v>
      </c>
      <c r="F290" s="363">
        <f t="shared" si="49"/>
        <v>-42072.46</v>
      </c>
      <c r="G290" s="363">
        <f t="shared" si="50"/>
        <v>100397.34000000001</v>
      </c>
      <c r="H290" s="364">
        <f t="shared" si="51"/>
        <v>-0.41905950894714938</v>
      </c>
      <c r="I290" s="363"/>
      <c r="N290" s="70"/>
    </row>
    <row r="291" spans="2:14" x14ac:dyDescent="0.25">
      <c r="B291" s="620">
        <v>42366</v>
      </c>
      <c r="C291" s="383">
        <v>6678</v>
      </c>
      <c r="D291" s="622">
        <v>19.91</v>
      </c>
      <c r="E291" s="363">
        <v>13.09</v>
      </c>
      <c r="F291" s="363">
        <f t="shared" si="49"/>
        <v>-45543.96</v>
      </c>
      <c r="G291" s="363">
        <f t="shared" si="50"/>
        <v>132958.98000000001</v>
      </c>
      <c r="H291" s="364">
        <f t="shared" si="51"/>
        <v>-0.34254143646408841</v>
      </c>
      <c r="I291" s="363"/>
    </row>
    <row r="292" spans="2:14" x14ac:dyDescent="0.25">
      <c r="B292" s="620">
        <v>42367</v>
      </c>
      <c r="C292" s="383">
        <v>8678</v>
      </c>
      <c r="D292" s="622">
        <v>18.32</v>
      </c>
      <c r="E292" s="363">
        <v>13.03</v>
      </c>
      <c r="F292" s="363">
        <f t="shared" si="49"/>
        <v>-45906.62000000001</v>
      </c>
      <c r="G292" s="363">
        <f t="shared" si="50"/>
        <v>158980.96</v>
      </c>
      <c r="H292" s="364">
        <f t="shared" si="51"/>
        <v>-0.28875545851528389</v>
      </c>
      <c r="I292" s="363"/>
    </row>
    <row r="293" spans="2:14" x14ac:dyDescent="0.25">
      <c r="B293" s="620">
        <v>42368</v>
      </c>
      <c r="C293" s="362">
        <v>9678</v>
      </c>
      <c r="D293" s="621">
        <v>17.73</v>
      </c>
      <c r="E293" s="363">
        <v>12.38</v>
      </c>
      <c r="F293" s="363">
        <f t="shared" si="49"/>
        <v>-51777.299999999996</v>
      </c>
      <c r="G293" s="363">
        <f t="shared" si="50"/>
        <v>171590.94</v>
      </c>
      <c r="H293" s="365">
        <f t="shared" si="51"/>
        <v>-0.30174844895657077</v>
      </c>
      <c r="I293" s="363"/>
    </row>
    <row r="294" spans="2:14" x14ac:dyDescent="0.25">
      <c r="B294" s="620">
        <v>42369</v>
      </c>
      <c r="C294" s="362">
        <v>8678</v>
      </c>
      <c r="D294" s="621">
        <v>18.312999999999999</v>
      </c>
      <c r="E294" s="363">
        <v>12.59</v>
      </c>
      <c r="F294" s="363">
        <f t="shared" si="49"/>
        <v>-49664.193999999989</v>
      </c>
      <c r="G294" s="363">
        <f t="shared" si="50"/>
        <v>158920.21399999998</v>
      </c>
      <c r="H294" s="365">
        <f t="shared" si="51"/>
        <v>-0.3125102386282968</v>
      </c>
      <c r="I294" s="363"/>
    </row>
    <row r="295" spans="2:14" x14ac:dyDescent="0.25">
      <c r="B295" s="620">
        <v>42374</v>
      </c>
      <c r="C295" s="362">
        <v>7678</v>
      </c>
      <c r="D295" s="621">
        <v>19.010000000000002</v>
      </c>
      <c r="E295" s="363">
        <v>12.76</v>
      </c>
      <c r="F295" s="363">
        <f t="shared" si="49"/>
        <v>-47987.500000000015</v>
      </c>
      <c r="G295" s="363">
        <f t="shared" si="50"/>
        <v>145958.78</v>
      </c>
      <c r="H295" s="365">
        <f t="shared" si="51"/>
        <v>-0.32877432930036832</v>
      </c>
      <c r="I295" s="363"/>
    </row>
    <row r="296" spans="2:14" x14ac:dyDescent="0.25">
      <c r="B296" s="620">
        <v>42375</v>
      </c>
      <c r="C296" s="362">
        <v>8678</v>
      </c>
      <c r="D296" s="621">
        <v>18.257000000000001</v>
      </c>
      <c r="E296" s="363">
        <v>12.76</v>
      </c>
      <c r="F296" s="363">
        <f t="shared" si="49"/>
        <v>-47702.966000000015</v>
      </c>
      <c r="G296" s="363">
        <f t="shared" si="50"/>
        <v>158434.24600000001</v>
      </c>
      <c r="H296" s="365">
        <f t="shared" si="51"/>
        <v>-0.30108999287944355</v>
      </c>
      <c r="I296" s="363"/>
    </row>
    <row r="297" spans="2:14" x14ac:dyDescent="0.25">
      <c r="B297" s="620">
        <v>42375</v>
      </c>
      <c r="C297" s="362">
        <v>9678</v>
      </c>
      <c r="D297" s="621">
        <v>17.579999999999998</v>
      </c>
      <c r="E297" s="363">
        <v>11.28</v>
      </c>
      <c r="F297" s="363">
        <f t="shared" si="49"/>
        <v>-60971.399999999987</v>
      </c>
      <c r="G297" s="363">
        <f t="shared" si="50"/>
        <v>170139.24</v>
      </c>
      <c r="H297" s="365">
        <f t="shared" si="51"/>
        <v>-0.35836177474402725</v>
      </c>
      <c r="I297" s="363"/>
    </row>
    <row r="298" spans="2:14" x14ac:dyDescent="0.25">
      <c r="B298" s="620">
        <v>42398</v>
      </c>
      <c r="C298" s="362">
        <v>9278</v>
      </c>
      <c r="D298" s="621">
        <v>17.93</v>
      </c>
      <c r="E298" s="363">
        <v>9.56</v>
      </c>
      <c r="F298" s="363">
        <f t="shared" si="49"/>
        <v>-77656.859999999986</v>
      </c>
      <c r="G298" s="363">
        <f t="shared" si="50"/>
        <v>166354.54</v>
      </c>
      <c r="H298" s="365">
        <f t="shared" si="51"/>
        <v>-0.46681539319576126</v>
      </c>
      <c r="I298" s="363"/>
    </row>
    <row r="299" spans="2:14" x14ac:dyDescent="0.25">
      <c r="B299" s="620">
        <v>42402</v>
      </c>
      <c r="C299" s="362">
        <v>9678</v>
      </c>
      <c r="D299" s="621">
        <v>17.559999999999999</v>
      </c>
      <c r="E299" s="363">
        <v>8.74</v>
      </c>
      <c r="F299" s="363">
        <f t="shared" si="49"/>
        <v>-85359.959999999992</v>
      </c>
      <c r="G299" s="363">
        <f t="shared" si="50"/>
        <v>169945.68</v>
      </c>
      <c r="H299" s="365">
        <f t="shared" si="51"/>
        <v>-0.50227790432801822</v>
      </c>
      <c r="I299" s="363"/>
    </row>
    <row r="300" spans="2:14" x14ac:dyDescent="0.25">
      <c r="B300" s="620">
        <v>42411</v>
      </c>
      <c r="C300" s="362">
        <v>9678</v>
      </c>
      <c r="D300" s="621">
        <v>17.553999999999998</v>
      </c>
      <c r="E300" s="363">
        <v>7.13</v>
      </c>
      <c r="F300" s="363">
        <f t="shared" si="49"/>
        <v>-100883.47199999999</v>
      </c>
      <c r="G300" s="363">
        <f t="shared" si="50"/>
        <v>169887.61199999999</v>
      </c>
      <c r="H300" s="364">
        <f t="shared" si="51"/>
        <v>-0.59382476928335426</v>
      </c>
      <c r="I300" s="363"/>
    </row>
    <row r="301" spans="2:14" x14ac:dyDescent="0.25">
      <c r="B301" s="620">
        <v>42412</v>
      </c>
      <c r="C301" s="362">
        <v>9678</v>
      </c>
      <c r="D301" s="621">
        <v>17.55</v>
      </c>
      <c r="E301" s="363">
        <v>7.46</v>
      </c>
      <c r="F301" s="363">
        <f t="shared" si="49"/>
        <v>-97651.02</v>
      </c>
      <c r="G301" s="363">
        <f t="shared" si="50"/>
        <v>169848.9</v>
      </c>
      <c r="H301" s="364">
        <f t="shared" si="51"/>
        <v>-0.57492877492877492</v>
      </c>
      <c r="I301" s="363"/>
    </row>
    <row r="302" spans="2:14" x14ac:dyDescent="0.25">
      <c r="B302" s="620">
        <v>42416</v>
      </c>
      <c r="C302" s="362">
        <v>9178</v>
      </c>
      <c r="D302" s="621">
        <v>18.084</v>
      </c>
      <c r="E302" s="363">
        <v>7.49</v>
      </c>
      <c r="F302" s="363">
        <f t="shared" si="49"/>
        <v>-97231.731999999989</v>
      </c>
      <c r="G302" s="363">
        <f t="shared" si="50"/>
        <v>165974.95199999999</v>
      </c>
      <c r="H302" s="364">
        <f t="shared" si="51"/>
        <v>-0.58582172085821715</v>
      </c>
      <c r="I302" s="363"/>
    </row>
    <row r="303" spans="2:14" x14ac:dyDescent="0.25">
      <c r="B303" s="620">
        <v>42416</v>
      </c>
      <c r="C303" s="362">
        <v>9678</v>
      </c>
      <c r="D303" s="621">
        <v>17.536999999999999</v>
      </c>
      <c r="E303" s="363">
        <v>7.49</v>
      </c>
      <c r="F303" s="363">
        <f t="shared" si="49"/>
        <v>-97234.865999999995</v>
      </c>
      <c r="G303" s="363">
        <f t="shared" si="50"/>
        <v>169723.08599999998</v>
      </c>
      <c r="H303" s="364">
        <f t="shared" si="51"/>
        <v>-0.57290300507498426</v>
      </c>
      <c r="I303" s="363"/>
    </row>
    <row r="304" spans="2:14" x14ac:dyDescent="0.25">
      <c r="B304" s="620">
        <v>42418</v>
      </c>
      <c r="C304" s="362">
        <v>13478</v>
      </c>
      <c r="D304" s="621">
        <v>14.673999999999999</v>
      </c>
      <c r="E304" s="363">
        <v>6.93</v>
      </c>
      <c r="F304" s="363">
        <f t="shared" si="49"/>
        <v>-104373.632</v>
      </c>
      <c r="G304" s="363">
        <f t="shared" si="50"/>
        <v>197776.17199999999</v>
      </c>
      <c r="H304" s="364">
        <f t="shared" si="51"/>
        <v>-0.52773613193403301</v>
      </c>
      <c r="I304" s="363"/>
    </row>
    <row r="305" spans="2:14" x14ac:dyDescent="0.25">
      <c r="B305" s="620">
        <v>42422</v>
      </c>
      <c r="C305" s="362">
        <v>10978</v>
      </c>
      <c r="D305" s="621">
        <v>16.314</v>
      </c>
      <c r="E305" s="363">
        <v>7.49</v>
      </c>
      <c r="F305" s="363">
        <f t="shared" si="49"/>
        <v>-96869.872000000003</v>
      </c>
      <c r="G305" s="363">
        <f>IF(C305=0, 0,D305*C305)</f>
        <v>179095.092</v>
      </c>
      <c r="H305" s="364">
        <f>IF(C305=0, D305, (E305-D305)/D305)</f>
        <v>-0.54088512933676591</v>
      </c>
      <c r="I305" s="363"/>
    </row>
    <row r="306" spans="2:14" x14ac:dyDescent="0.25">
      <c r="B306" s="620">
        <v>42422</v>
      </c>
      <c r="C306" s="362">
        <v>9978</v>
      </c>
      <c r="D306" s="621">
        <v>17.199000000000002</v>
      </c>
      <c r="E306" s="363">
        <v>7.49</v>
      </c>
      <c r="F306" s="363">
        <f t="shared" si="49"/>
        <v>-96876.402000000016</v>
      </c>
      <c r="G306" s="363">
        <f>IF(C306=0, 0,D306*C306)</f>
        <v>171611.622</v>
      </c>
      <c r="H306" s="364">
        <f>IF(C306=0, D306, (E306-D306)/D306)</f>
        <v>-0.56450956450956458</v>
      </c>
      <c r="I306" s="363"/>
    </row>
    <row r="307" spans="2:14" x14ac:dyDescent="0.25">
      <c r="B307" s="620">
        <v>42426</v>
      </c>
      <c r="C307" s="362">
        <v>9678</v>
      </c>
      <c r="D307" s="621">
        <v>17.489000000000001</v>
      </c>
      <c r="E307" s="363">
        <v>7.49</v>
      </c>
      <c r="F307" s="363">
        <f t="shared" ref="F307:F315" si="52">C307*(E307-D307)</f>
        <v>-96770.322</v>
      </c>
      <c r="G307" s="363">
        <f>IF(C307=0, 0,D307*C307)</f>
        <v>169258.54200000002</v>
      </c>
      <c r="H307" s="364">
        <f>IF(C307=0, D307, (E307-D307)/D307)</f>
        <v>-0.57173080221853734</v>
      </c>
      <c r="I307" s="363"/>
    </row>
    <row r="308" spans="2:14" x14ac:dyDescent="0.25">
      <c r="B308" s="620">
        <v>42426</v>
      </c>
      <c r="C308" s="362">
        <v>9178</v>
      </c>
      <c r="D308" s="621">
        <v>18.02</v>
      </c>
      <c r="E308" s="363">
        <v>7.76</v>
      </c>
      <c r="F308" s="363">
        <f t="shared" si="52"/>
        <v>-94166.28</v>
      </c>
      <c r="G308" s="363">
        <f t="shared" ref="G308:G315" si="53">IF(C308=0, 0,D308*C308)</f>
        <v>165387.56</v>
      </c>
      <c r="H308" s="364">
        <f t="shared" ref="H308:H315" si="54">IF(C308=0, D308, (E308-D308)/D308)</f>
        <v>-0.5693673695893452</v>
      </c>
      <c r="I308" s="363"/>
    </row>
    <row r="309" spans="2:14" x14ac:dyDescent="0.25">
      <c r="B309" s="620">
        <v>42426</v>
      </c>
      <c r="C309" s="362">
        <v>8178</v>
      </c>
      <c r="D309" s="621">
        <v>19.245999999999999</v>
      </c>
      <c r="E309" s="363">
        <v>8</v>
      </c>
      <c r="F309" s="363">
        <f t="shared" si="52"/>
        <v>-91969.787999999986</v>
      </c>
      <c r="G309" s="363">
        <f t="shared" si="53"/>
        <v>157393.788</v>
      </c>
      <c r="H309" s="364">
        <f t="shared" si="54"/>
        <v>-0.58432921126467829</v>
      </c>
      <c r="I309" s="363"/>
    </row>
    <row r="310" spans="2:14" x14ac:dyDescent="0.25">
      <c r="B310" s="620">
        <v>42426</v>
      </c>
      <c r="C310" s="362">
        <v>6678</v>
      </c>
      <c r="D310" s="621">
        <v>21.75</v>
      </c>
      <c r="E310" s="363">
        <v>8.1</v>
      </c>
      <c r="F310" s="363">
        <f t="shared" si="52"/>
        <v>-91154.7</v>
      </c>
      <c r="G310" s="363">
        <f t="shared" si="53"/>
        <v>145246.5</v>
      </c>
      <c r="H310" s="364">
        <f t="shared" si="54"/>
        <v>-0.62758620689655176</v>
      </c>
      <c r="I310" s="363"/>
    </row>
    <row r="311" spans="2:14" x14ac:dyDescent="0.25">
      <c r="B311" s="620">
        <v>42426</v>
      </c>
      <c r="C311" s="362">
        <v>8678</v>
      </c>
      <c r="D311" s="621">
        <v>18.568999999999999</v>
      </c>
      <c r="E311" s="363">
        <v>7.94</v>
      </c>
      <c r="F311" s="363">
        <f t="shared" si="52"/>
        <v>-92238.461999999985</v>
      </c>
      <c r="G311" s="363">
        <f t="shared" si="53"/>
        <v>161141.78199999998</v>
      </c>
      <c r="H311" s="364">
        <f t="shared" si="54"/>
        <v>-0.57240562227368186</v>
      </c>
      <c r="I311" s="363"/>
    </row>
    <row r="312" spans="2:14" x14ac:dyDescent="0.25">
      <c r="B312" s="620">
        <v>42429</v>
      </c>
      <c r="C312" s="362">
        <v>7678</v>
      </c>
      <c r="D312" s="621">
        <v>19.876000000000001</v>
      </c>
      <c r="E312" s="363">
        <v>8.2100000000000009</v>
      </c>
      <c r="F312" s="363">
        <f t="shared" si="52"/>
        <v>-89571.54800000001</v>
      </c>
      <c r="G312" s="363">
        <f t="shared" si="53"/>
        <v>152607.92800000001</v>
      </c>
      <c r="H312" s="364">
        <f t="shared" si="54"/>
        <v>-0.58693902193600322</v>
      </c>
      <c r="I312" s="363"/>
    </row>
    <row r="313" spans="2:14" x14ac:dyDescent="0.25">
      <c r="B313" s="620">
        <v>42429</v>
      </c>
      <c r="C313" s="362">
        <v>9678</v>
      </c>
      <c r="D313" s="621">
        <v>17.463000000000001</v>
      </c>
      <c r="E313" s="363">
        <v>8.2100000000000009</v>
      </c>
      <c r="F313" s="363">
        <f t="shared" si="52"/>
        <v>-89550.534</v>
      </c>
      <c r="G313" s="363">
        <f t="shared" si="53"/>
        <v>169006.91400000002</v>
      </c>
      <c r="H313" s="364">
        <f t="shared" si="54"/>
        <v>-0.5298631392086125</v>
      </c>
      <c r="I313" s="363"/>
    </row>
    <row r="314" spans="2:14" x14ac:dyDescent="0.25">
      <c r="B314" s="620">
        <v>42429</v>
      </c>
      <c r="C314" s="362">
        <v>9178</v>
      </c>
      <c r="D314" s="621">
        <v>17.981000000000002</v>
      </c>
      <c r="E314" s="363">
        <v>8.2100000000000009</v>
      </c>
      <c r="F314" s="363">
        <f t="shared" si="52"/>
        <v>-89678.238000000012</v>
      </c>
      <c r="G314" s="363">
        <f t="shared" si="53"/>
        <v>165029.61800000002</v>
      </c>
      <c r="H314" s="364">
        <f t="shared" si="54"/>
        <v>-0.5434069295367332</v>
      </c>
      <c r="I314" s="363"/>
    </row>
    <row r="315" spans="2:14" x14ac:dyDescent="0.25">
      <c r="B315" s="620">
        <v>42429</v>
      </c>
      <c r="C315" s="362">
        <v>9678</v>
      </c>
      <c r="D315" s="621">
        <v>17.459</v>
      </c>
      <c r="E315" s="363">
        <v>8.2100000000000009</v>
      </c>
      <c r="F315" s="363">
        <f t="shared" si="52"/>
        <v>-89511.821999999986</v>
      </c>
      <c r="G315" s="363">
        <f t="shared" si="53"/>
        <v>168968.20199999999</v>
      </c>
      <c r="H315" s="364">
        <f t="shared" si="54"/>
        <v>-0.5297554270004009</v>
      </c>
      <c r="I315" s="363"/>
    </row>
    <row r="316" spans="2:14" x14ac:dyDescent="0.25">
      <c r="B316" s="620">
        <v>42429</v>
      </c>
      <c r="C316" s="362">
        <v>9178</v>
      </c>
      <c r="D316" s="621">
        <v>17.975999999999999</v>
      </c>
      <c r="E316" s="363">
        <v>8.2100000000000009</v>
      </c>
      <c r="F316" s="363">
        <f t="shared" ref="F316:F327" si="55">C316*(E316-D316)</f>
        <v>-89632.347999999984</v>
      </c>
      <c r="G316" s="363">
        <f t="shared" ref="G316:G327" si="56">IF(C316=0, 0,D316*C316)</f>
        <v>164983.728</v>
      </c>
      <c r="H316" s="364">
        <f t="shared" ref="H316:H367" si="57">IF(C316=0, D316, (E316-D316)/D316)</f>
        <v>-0.54327992879394738</v>
      </c>
      <c r="I316" s="363" t="s">
        <v>186</v>
      </c>
    </row>
    <row r="317" spans="2:14" x14ac:dyDescent="0.25">
      <c r="B317" s="620">
        <v>42430</v>
      </c>
      <c r="C317" s="383">
        <v>10178</v>
      </c>
      <c r="D317" s="622">
        <v>16.974</v>
      </c>
      <c r="E317" s="363">
        <v>7.8</v>
      </c>
      <c r="F317" s="363">
        <f t="shared" si="55"/>
        <v>-93372.971999999994</v>
      </c>
      <c r="G317" s="363">
        <f t="shared" si="56"/>
        <v>172761.372</v>
      </c>
      <c r="H317" s="364">
        <f t="shared" si="57"/>
        <v>-0.54047366560622123</v>
      </c>
      <c r="I317" s="363"/>
      <c r="N317" s="70"/>
    </row>
    <row r="318" spans="2:14" x14ac:dyDescent="0.25">
      <c r="B318" s="620">
        <v>42430</v>
      </c>
      <c r="C318" s="383">
        <v>9678</v>
      </c>
      <c r="D318" s="622">
        <v>17.440000000000001</v>
      </c>
      <c r="E318" s="363">
        <v>7.96</v>
      </c>
      <c r="F318" s="363">
        <f t="shared" si="55"/>
        <v>-91747.44</v>
      </c>
      <c r="G318" s="363">
        <f t="shared" si="56"/>
        <v>168784.32</v>
      </c>
      <c r="H318" s="364">
        <f t="shared" si="57"/>
        <v>-0.54357798165137616</v>
      </c>
      <c r="I318" s="363"/>
    </row>
    <row r="319" spans="2:14" x14ac:dyDescent="0.25">
      <c r="B319" s="620">
        <v>42431</v>
      </c>
      <c r="C319" s="362">
        <v>8678</v>
      </c>
      <c r="D319" s="621">
        <v>18.405999999999999</v>
      </c>
      <c r="E319" s="363">
        <v>9.1</v>
      </c>
      <c r="F319" s="363">
        <f t="shared" si="55"/>
        <v>-80757.467999999993</v>
      </c>
      <c r="G319" s="363">
        <f t="shared" si="56"/>
        <v>159727.26799999998</v>
      </c>
      <c r="H319" s="365">
        <f t="shared" si="57"/>
        <v>-0.50559600130392257</v>
      </c>
      <c r="I319" s="363"/>
    </row>
    <row r="320" spans="2:14" x14ac:dyDescent="0.25">
      <c r="B320" s="620">
        <v>42432</v>
      </c>
      <c r="C320" s="362">
        <v>9278</v>
      </c>
      <c r="D320" s="621">
        <v>17.771999999999998</v>
      </c>
      <c r="E320" s="363">
        <v>9.9700000000000006</v>
      </c>
      <c r="F320" s="363">
        <f t="shared" si="55"/>
        <v>-72386.955999999976</v>
      </c>
      <c r="G320" s="363">
        <f t="shared" si="56"/>
        <v>164888.61599999998</v>
      </c>
      <c r="H320" s="365">
        <f t="shared" si="57"/>
        <v>-0.43900517668242173</v>
      </c>
      <c r="I320" s="363"/>
    </row>
    <row r="321" spans="2:14" ht="15" customHeight="1" x14ac:dyDescent="0.25">
      <c r="B321" s="620">
        <v>42433</v>
      </c>
      <c r="C321" s="362">
        <v>9278</v>
      </c>
      <c r="D321" s="621">
        <v>17.771999999999998</v>
      </c>
      <c r="E321" s="363">
        <v>11</v>
      </c>
      <c r="F321" s="363">
        <f t="shared" si="55"/>
        <v>-62830.615999999987</v>
      </c>
      <c r="G321" s="363">
        <f t="shared" si="56"/>
        <v>164888.61599999998</v>
      </c>
      <c r="H321" s="365">
        <f t="shared" si="57"/>
        <v>-0.38104884087328378</v>
      </c>
      <c r="I321" s="363"/>
    </row>
    <row r="322" spans="2:14" x14ac:dyDescent="0.25">
      <c r="B322" s="620">
        <v>42439</v>
      </c>
      <c r="C322" s="362">
        <v>9278</v>
      </c>
      <c r="D322" s="621">
        <v>17.718</v>
      </c>
      <c r="E322" s="363">
        <v>10.59</v>
      </c>
      <c r="F322" s="363">
        <f t="shared" si="55"/>
        <v>-66133.584000000003</v>
      </c>
      <c r="G322" s="363">
        <f t="shared" si="56"/>
        <v>164387.60399999999</v>
      </c>
      <c r="H322" s="365">
        <f t="shared" si="57"/>
        <v>-0.40230274297324753</v>
      </c>
      <c r="I322" s="363" t="s">
        <v>185</v>
      </c>
    </row>
    <row r="323" spans="2:14" x14ac:dyDescent="0.25">
      <c r="B323" s="620">
        <v>42440</v>
      </c>
      <c r="C323" s="362">
        <v>9278</v>
      </c>
      <c r="D323" s="621">
        <v>17.712</v>
      </c>
      <c r="E323" s="363">
        <v>11.12</v>
      </c>
      <c r="F323" s="363">
        <f t="shared" si="55"/>
        <v>-61160.576000000008</v>
      </c>
      <c r="G323" s="363">
        <f t="shared" si="56"/>
        <v>164331.93599999999</v>
      </c>
      <c r="H323" s="365">
        <f t="shared" si="57"/>
        <v>-0.37217705510388438</v>
      </c>
      <c r="I323" s="363"/>
    </row>
    <row r="324" spans="2:14" x14ac:dyDescent="0.25">
      <c r="B324" s="620">
        <v>42446</v>
      </c>
      <c r="C324" s="362">
        <v>9278</v>
      </c>
      <c r="D324" s="621">
        <v>17.704999999999998</v>
      </c>
      <c r="E324" s="363">
        <v>11.45</v>
      </c>
      <c r="F324" s="363">
        <f t="shared" si="55"/>
        <v>-58033.889999999992</v>
      </c>
      <c r="G324" s="363">
        <f t="shared" si="56"/>
        <v>164266.99</v>
      </c>
      <c r="H324" s="365">
        <f t="shared" si="57"/>
        <v>-0.353290031064671</v>
      </c>
      <c r="I324" s="363"/>
    </row>
    <row r="325" spans="2:14" x14ac:dyDescent="0.25">
      <c r="B325" s="620">
        <v>42447</v>
      </c>
      <c r="C325" s="362">
        <v>7928</v>
      </c>
      <c r="D325" s="621">
        <v>18.734999999999999</v>
      </c>
      <c r="E325" s="363">
        <v>11.63</v>
      </c>
      <c r="F325" s="363">
        <f t="shared" si="55"/>
        <v>-56328.439999999988</v>
      </c>
      <c r="G325" s="363">
        <f t="shared" si="56"/>
        <v>148531.07999999999</v>
      </c>
      <c r="H325" s="365">
        <f t="shared" si="57"/>
        <v>-0.37923672271150249</v>
      </c>
      <c r="I325" s="363"/>
    </row>
    <row r="326" spans="2:14" x14ac:dyDescent="0.25">
      <c r="B326" s="620">
        <v>42450</v>
      </c>
      <c r="C326" s="362">
        <v>9278</v>
      </c>
      <c r="D326" s="621">
        <v>17.670000000000002</v>
      </c>
      <c r="E326" s="363">
        <v>11.43</v>
      </c>
      <c r="F326" s="363">
        <f t="shared" si="55"/>
        <v>-57894.720000000016</v>
      </c>
      <c r="G326" s="363">
        <f t="shared" si="56"/>
        <v>163942.26</v>
      </c>
      <c r="H326" s="364">
        <f t="shared" si="57"/>
        <v>-0.35314091680814946</v>
      </c>
      <c r="I326" s="363"/>
    </row>
    <row r="327" spans="2:14" x14ac:dyDescent="0.25">
      <c r="B327" s="620">
        <v>42451</v>
      </c>
      <c r="C327" s="362">
        <v>9628</v>
      </c>
      <c r="D327" s="621">
        <v>17.428000000000001</v>
      </c>
      <c r="E327" s="363">
        <v>11.31</v>
      </c>
      <c r="F327" s="363">
        <f t="shared" si="55"/>
        <v>-58904.104000000007</v>
      </c>
      <c r="G327" s="363">
        <f t="shared" si="56"/>
        <v>167796.78400000001</v>
      </c>
      <c r="H327" s="364">
        <f t="shared" si="57"/>
        <v>-0.35104429653431263</v>
      </c>
      <c r="I327" s="363"/>
    </row>
    <row r="328" spans="2:14" x14ac:dyDescent="0.25">
      <c r="B328" s="620">
        <v>42453</v>
      </c>
      <c r="C328" s="362">
        <v>13278</v>
      </c>
      <c r="D328" s="621">
        <v>15.5565</v>
      </c>
      <c r="E328" s="363">
        <v>10.29</v>
      </c>
      <c r="F328" s="363">
        <f t="shared" ref="F328:F367" si="58">C328*(E328-D328)</f>
        <v>-69928.587000000014</v>
      </c>
      <c r="G328" s="363">
        <f t="shared" ref="G328:G367" si="59">IF(C328=0, 0,D328*C328)</f>
        <v>206559.20699999999</v>
      </c>
      <c r="H328" s="364">
        <f t="shared" si="57"/>
        <v>-0.33854016006171056</v>
      </c>
      <c r="I328" s="363"/>
    </row>
    <row r="329" spans="2:14" x14ac:dyDescent="0.25">
      <c r="B329" s="620">
        <v>42459</v>
      </c>
      <c r="C329" s="362">
        <v>11278</v>
      </c>
      <c r="D329" s="621">
        <v>16.408899999999999</v>
      </c>
      <c r="E329" s="363">
        <v>10.53</v>
      </c>
      <c r="F329" s="363">
        <f t="shared" si="58"/>
        <v>-66302.234199999992</v>
      </c>
      <c r="G329" s="363">
        <f t="shared" si="59"/>
        <v>185059.5742</v>
      </c>
      <c r="H329" s="364">
        <f t="shared" si="57"/>
        <v>-0.35827508242478168</v>
      </c>
      <c r="I329" s="363"/>
    </row>
    <row r="330" spans="2:14" x14ac:dyDescent="0.25">
      <c r="B330" s="620">
        <v>42460</v>
      </c>
      <c r="C330" s="362">
        <v>9678</v>
      </c>
      <c r="D330" s="621">
        <v>17.311699999999998</v>
      </c>
      <c r="E330" s="363">
        <v>11.14</v>
      </c>
      <c r="F330" s="363">
        <f t="shared" si="58"/>
        <v>-59729.712599999977</v>
      </c>
      <c r="G330" s="363">
        <f t="shared" si="59"/>
        <v>167542.63259999998</v>
      </c>
      <c r="H330" s="364">
        <f t="shared" si="57"/>
        <v>-0.35650456049954643</v>
      </c>
      <c r="I330" s="363"/>
    </row>
    <row r="331" spans="2:14" x14ac:dyDescent="0.25">
      <c r="B331" s="620">
        <v>42461</v>
      </c>
      <c r="C331" s="362">
        <v>11678</v>
      </c>
      <c r="D331" s="621">
        <v>16.116</v>
      </c>
      <c r="E331" s="363">
        <v>10.53</v>
      </c>
      <c r="F331" s="363">
        <f t="shared" si="58"/>
        <v>-65233.308000000005</v>
      </c>
      <c r="G331" s="363">
        <f t="shared" si="59"/>
        <v>188202.64799999999</v>
      </c>
      <c r="H331" s="364">
        <f t="shared" si="57"/>
        <v>-0.34661206254653765</v>
      </c>
      <c r="I331" s="363"/>
    </row>
    <row r="332" spans="2:14" x14ac:dyDescent="0.25">
      <c r="B332" s="620">
        <v>42461</v>
      </c>
      <c r="C332" s="362">
        <v>9678</v>
      </c>
      <c r="D332" s="621">
        <v>17.266200000000001</v>
      </c>
      <c r="E332" s="363">
        <v>10.56</v>
      </c>
      <c r="F332" s="363">
        <f t="shared" si="58"/>
        <v>-64902.603600000009</v>
      </c>
      <c r="G332" s="363">
        <f t="shared" si="59"/>
        <v>167102.28360000002</v>
      </c>
      <c r="H332" s="364">
        <f t="shared" si="57"/>
        <v>-0.388400458699656</v>
      </c>
      <c r="I332" s="363"/>
    </row>
    <row r="333" spans="2:14" x14ac:dyDescent="0.25">
      <c r="B333" s="620">
        <v>42464</v>
      </c>
      <c r="C333" s="362">
        <v>9778</v>
      </c>
      <c r="D333" s="621">
        <v>17.196100000000001</v>
      </c>
      <c r="E333" s="363">
        <v>10.4</v>
      </c>
      <c r="F333" s="363">
        <f t="shared" si="58"/>
        <v>-66452.265800000008</v>
      </c>
      <c r="G333" s="363">
        <f t="shared" si="59"/>
        <v>168143.46580000001</v>
      </c>
      <c r="H333" s="364">
        <f t="shared" si="57"/>
        <v>-0.3952117049796175</v>
      </c>
      <c r="I333" s="363"/>
    </row>
    <row r="334" spans="2:14" x14ac:dyDescent="0.25">
      <c r="B334" s="620">
        <v>42465</v>
      </c>
      <c r="C334" s="362">
        <v>9678</v>
      </c>
      <c r="D334" s="621">
        <v>17.262699999999999</v>
      </c>
      <c r="E334" s="363">
        <v>10.63</v>
      </c>
      <c r="F334" s="363">
        <f t="shared" si="58"/>
        <v>-64191.270599999982</v>
      </c>
      <c r="G334" s="363">
        <f t="shared" si="59"/>
        <v>167068.4106</v>
      </c>
      <c r="H334" s="364">
        <f t="shared" si="57"/>
        <v>-0.38422147172806098</v>
      </c>
      <c r="I334" s="363"/>
    </row>
    <row r="335" spans="2:14" x14ac:dyDescent="0.25">
      <c r="B335" s="620">
        <v>42469</v>
      </c>
      <c r="C335" s="362">
        <v>8678</v>
      </c>
      <c r="D335" s="621">
        <v>17.895700000000001</v>
      </c>
      <c r="E335" s="363">
        <v>11.78</v>
      </c>
      <c r="F335" s="363">
        <f t="shared" si="58"/>
        <v>-53072.044600000016</v>
      </c>
      <c r="G335" s="363">
        <f t="shared" si="59"/>
        <v>155298.88460000002</v>
      </c>
      <c r="H335" s="364">
        <f t="shared" si="57"/>
        <v>-0.34174131215878684</v>
      </c>
      <c r="I335" s="363"/>
      <c r="N335" s="70"/>
    </row>
    <row r="336" spans="2:14" x14ac:dyDescent="0.25">
      <c r="B336" s="620">
        <v>42471</v>
      </c>
      <c r="C336" s="362">
        <v>9678</v>
      </c>
      <c r="D336" s="621">
        <v>17.2514</v>
      </c>
      <c r="E336" s="363">
        <v>11.67</v>
      </c>
      <c r="F336" s="363">
        <f t="shared" si="58"/>
        <v>-54016.789200000007</v>
      </c>
      <c r="G336" s="363">
        <f t="shared" si="59"/>
        <v>166959.04920000001</v>
      </c>
      <c r="H336" s="364">
        <f t="shared" si="57"/>
        <v>-0.32353316252593994</v>
      </c>
      <c r="I336" s="363"/>
    </row>
    <row r="337" spans="2:9" x14ac:dyDescent="0.25">
      <c r="B337" s="620">
        <v>42472</v>
      </c>
      <c r="C337" s="362">
        <v>8288</v>
      </c>
      <c r="D337" s="621">
        <v>17.96</v>
      </c>
      <c r="E337" s="363">
        <v>13.05</v>
      </c>
      <c r="F337" s="363">
        <f t="shared" si="58"/>
        <v>-40694.080000000002</v>
      </c>
      <c r="G337" s="363">
        <f t="shared" si="59"/>
        <v>148852.48000000001</v>
      </c>
      <c r="H337" s="364">
        <f t="shared" si="57"/>
        <v>-0.27338530066815142</v>
      </c>
      <c r="I337" s="363"/>
    </row>
    <row r="338" spans="2:9" x14ac:dyDescent="0.25">
      <c r="B338" s="620">
        <v>42473</v>
      </c>
      <c r="C338" s="362">
        <v>9258</v>
      </c>
      <c r="D338" s="621">
        <v>17.415800000000001</v>
      </c>
      <c r="E338" s="363">
        <v>12.92</v>
      </c>
      <c r="F338" s="363">
        <f t="shared" si="58"/>
        <v>-41622.116400000006</v>
      </c>
      <c r="G338" s="363">
        <f t="shared" si="59"/>
        <v>161235.47640000001</v>
      </c>
      <c r="H338" s="364">
        <f t="shared" si="57"/>
        <v>-0.2581449029042594</v>
      </c>
      <c r="I338" s="363"/>
    </row>
    <row r="339" spans="2:9" x14ac:dyDescent="0.25">
      <c r="B339" s="620">
        <v>42474</v>
      </c>
      <c r="C339" s="362">
        <v>9678</v>
      </c>
      <c r="D339" s="621">
        <v>17.2135</v>
      </c>
      <c r="E339" s="363">
        <v>13.11</v>
      </c>
      <c r="F339" s="363">
        <f t="shared" si="58"/>
        <v>-39713.673000000003</v>
      </c>
      <c r="G339" s="363">
        <f t="shared" si="59"/>
        <v>166592.253</v>
      </c>
      <c r="H339" s="364">
        <f t="shared" si="57"/>
        <v>-0.23838847416272113</v>
      </c>
      <c r="I339" s="363"/>
    </row>
    <row r="340" spans="2:9" x14ac:dyDescent="0.25">
      <c r="B340" s="620">
        <v>42474</v>
      </c>
      <c r="C340" s="362">
        <v>9178</v>
      </c>
      <c r="D340" s="621">
        <v>17.433299999999999</v>
      </c>
      <c r="E340" s="363">
        <v>13.11</v>
      </c>
      <c r="F340" s="363">
        <f t="shared" si="58"/>
        <v>-39679.2474</v>
      </c>
      <c r="G340" s="363">
        <f t="shared" si="59"/>
        <v>160002.82739999998</v>
      </c>
      <c r="H340" s="364">
        <f t="shared" si="57"/>
        <v>-0.24799091394056202</v>
      </c>
      <c r="I340" s="363"/>
    </row>
    <row r="341" spans="2:9" x14ac:dyDescent="0.25">
      <c r="B341" s="620">
        <v>42475</v>
      </c>
      <c r="C341" s="362">
        <v>9678</v>
      </c>
      <c r="D341" s="621">
        <v>17.205100000000002</v>
      </c>
      <c r="E341" s="363">
        <v>13.01</v>
      </c>
      <c r="F341" s="363">
        <f t="shared" si="58"/>
        <v>-40600.177800000019</v>
      </c>
      <c r="G341" s="363">
        <f t="shared" si="59"/>
        <v>166510.9578</v>
      </c>
      <c r="H341" s="364">
        <f t="shared" si="57"/>
        <v>-0.24382886469709572</v>
      </c>
      <c r="I341" s="363"/>
    </row>
    <row r="342" spans="2:9" x14ac:dyDescent="0.25">
      <c r="B342" s="620">
        <v>42478</v>
      </c>
      <c r="C342" s="362">
        <v>9178</v>
      </c>
      <c r="D342" s="621">
        <v>17.412400000000002</v>
      </c>
      <c r="E342" s="363">
        <v>13.36</v>
      </c>
      <c r="F342" s="363">
        <f t="shared" si="58"/>
        <v>-37192.92720000002</v>
      </c>
      <c r="G342" s="363">
        <f t="shared" si="59"/>
        <v>159811.00720000002</v>
      </c>
      <c r="H342" s="364">
        <f t="shared" si="57"/>
        <v>-0.232730697663734</v>
      </c>
      <c r="I342" s="363"/>
    </row>
    <row r="343" spans="2:9" x14ac:dyDescent="0.25">
      <c r="B343" s="620">
        <v>42484</v>
      </c>
      <c r="C343" s="383">
        <v>9178</v>
      </c>
      <c r="D343" s="622">
        <v>17.412400000000002</v>
      </c>
      <c r="E343" s="363">
        <v>14.34</v>
      </c>
      <c r="F343" s="363">
        <f t="shared" si="58"/>
        <v>-28198.487200000018</v>
      </c>
      <c r="G343" s="363">
        <f t="shared" si="59"/>
        <v>159811.00720000002</v>
      </c>
      <c r="H343" s="364">
        <f t="shared" si="57"/>
        <v>-0.17644896740254082</v>
      </c>
      <c r="I343" s="363"/>
    </row>
    <row r="344" spans="2:9" x14ac:dyDescent="0.25">
      <c r="B344" s="620">
        <v>42485</v>
      </c>
      <c r="C344" s="383">
        <v>9678</v>
      </c>
      <c r="D344" s="622">
        <v>17.233499999999999</v>
      </c>
      <c r="E344" s="363">
        <v>13.83</v>
      </c>
      <c r="F344" s="363">
        <f t="shared" si="58"/>
        <v>-32939.072999999997</v>
      </c>
      <c r="G344" s="363">
        <f t="shared" si="59"/>
        <v>166785.81299999999</v>
      </c>
      <c r="H344" s="364">
        <f t="shared" si="57"/>
        <v>-0.19749325441726867</v>
      </c>
      <c r="I344" s="363"/>
    </row>
    <row r="345" spans="2:9" x14ac:dyDescent="0.25">
      <c r="B345" s="620">
        <v>42486</v>
      </c>
      <c r="C345" s="362">
        <v>9178</v>
      </c>
      <c r="D345" s="621">
        <v>17.390599999999999</v>
      </c>
      <c r="E345" s="363">
        <v>14.44</v>
      </c>
      <c r="F345" s="363">
        <f t="shared" si="58"/>
        <v>-27080.606799999998</v>
      </c>
      <c r="G345" s="363">
        <f t="shared" si="59"/>
        <v>159610.92679999999</v>
      </c>
      <c r="H345" s="365">
        <f t="shared" si="57"/>
        <v>-0.16966637148804525</v>
      </c>
      <c r="I345" s="363"/>
    </row>
    <row r="346" spans="2:9" x14ac:dyDescent="0.25">
      <c r="B346" s="620">
        <v>42487</v>
      </c>
      <c r="C346" s="362">
        <v>9178</v>
      </c>
      <c r="D346" s="621">
        <v>17.376300000000001</v>
      </c>
      <c r="E346" s="363">
        <v>14.84</v>
      </c>
      <c r="F346" s="363">
        <f t="shared" si="58"/>
        <v>-23278.161400000005</v>
      </c>
      <c r="G346" s="363">
        <f t="shared" si="59"/>
        <v>159479.6814</v>
      </c>
      <c r="H346" s="365">
        <f t="shared" si="57"/>
        <v>-0.14596317973331496</v>
      </c>
      <c r="I346" s="363"/>
    </row>
    <row r="347" spans="2:9" x14ac:dyDescent="0.25">
      <c r="B347" s="620">
        <v>42488</v>
      </c>
      <c r="C347" s="362">
        <v>9678</v>
      </c>
      <c r="D347" s="621">
        <v>17.2287</v>
      </c>
      <c r="E347" s="363">
        <v>14.35</v>
      </c>
      <c r="F347" s="363">
        <f t="shared" si="58"/>
        <v>-27860.058600000004</v>
      </c>
      <c r="G347" s="363">
        <f t="shared" si="59"/>
        <v>166739.35860000001</v>
      </c>
      <c r="H347" s="365">
        <f t="shared" si="57"/>
        <v>-0.16708747612994598</v>
      </c>
      <c r="I347" s="363"/>
    </row>
    <row r="348" spans="2:9" x14ac:dyDescent="0.25">
      <c r="B348" s="620">
        <v>42489</v>
      </c>
      <c r="C348" s="362">
        <v>9678</v>
      </c>
      <c r="D348" s="621">
        <v>17.179200000000002</v>
      </c>
      <c r="E348" s="363">
        <v>14.09</v>
      </c>
      <c r="F348" s="363">
        <f t="shared" si="58"/>
        <v>-29897.277600000016</v>
      </c>
      <c r="G348" s="363">
        <f t="shared" si="59"/>
        <v>166260.29760000002</v>
      </c>
      <c r="H348" s="365">
        <f t="shared" si="57"/>
        <v>-0.17982211045916</v>
      </c>
      <c r="I348" s="363"/>
    </row>
    <row r="349" spans="2:9" x14ac:dyDescent="0.25">
      <c r="B349" s="620">
        <v>42492</v>
      </c>
      <c r="C349" s="362">
        <v>9678</v>
      </c>
      <c r="D349" s="621">
        <v>17.136399999999998</v>
      </c>
      <c r="E349" s="363">
        <v>13.55</v>
      </c>
      <c r="F349" s="363">
        <f t="shared" si="58"/>
        <v>-34709.179199999977</v>
      </c>
      <c r="G349" s="363">
        <f t="shared" si="59"/>
        <v>165846.07919999998</v>
      </c>
      <c r="H349" s="365">
        <f t="shared" si="57"/>
        <v>-0.20928549753740563</v>
      </c>
      <c r="I349" s="363"/>
    </row>
    <row r="350" spans="2:9" x14ac:dyDescent="0.25">
      <c r="B350" s="620">
        <v>42493</v>
      </c>
      <c r="C350" s="362">
        <v>9678</v>
      </c>
      <c r="D350" s="621">
        <v>17.1221</v>
      </c>
      <c r="E350" s="363">
        <v>12.79</v>
      </c>
      <c r="F350" s="363">
        <f t="shared" si="58"/>
        <v>-41926.063800000004</v>
      </c>
      <c r="G350" s="363">
        <f t="shared" si="59"/>
        <v>165707.6838</v>
      </c>
      <c r="H350" s="365">
        <f t="shared" si="57"/>
        <v>-0.25301218892542388</v>
      </c>
      <c r="I350" s="363"/>
    </row>
    <row r="351" spans="2:9" x14ac:dyDescent="0.25">
      <c r="B351" s="620">
        <v>42494</v>
      </c>
      <c r="C351" s="362">
        <v>11678</v>
      </c>
      <c r="D351" s="621">
        <v>16.316800000000001</v>
      </c>
      <c r="E351" s="363">
        <v>12.17</v>
      </c>
      <c r="F351" s="363">
        <f t="shared" si="58"/>
        <v>-48426.330400000006</v>
      </c>
      <c r="G351" s="363">
        <f t="shared" si="59"/>
        <v>190547.59040000002</v>
      </c>
      <c r="H351" s="365">
        <f t="shared" si="57"/>
        <v>-0.25414296920964896</v>
      </c>
      <c r="I351" s="363"/>
    </row>
    <row r="352" spans="2:9" x14ac:dyDescent="0.25">
      <c r="B352" s="620">
        <v>42495</v>
      </c>
      <c r="C352" s="362">
        <v>9678</v>
      </c>
      <c r="D352" s="621">
        <v>17.0684</v>
      </c>
      <c r="E352" s="363">
        <v>12.07</v>
      </c>
      <c r="F352" s="363">
        <f t="shared" si="58"/>
        <v>-48374.515200000002</v>
      </c>
      <c r="G352" s="363">
        <f t="shared" si="59"/>
        <v>165187.97520000002</v>
      </c>
      <c r="H352" s="364">
        <f t="shared" si="57"/>
        <v>-0.29284525790349419</v>
      </c>
      <c r="I352" s="363"/>
    </row>
    <row r="353" spans="2:14" ht="15" customHeight="1" x14ac:dyDescent="0.25">
      <c r="B353" s="620">
        <v>42499</v>
      </c>
      <c r="C353" s="362">
        <v>10678</v>
      </c>
      <c r="D353" s="621">
        <v>16.537600000000001</v>
      </c>
      <c r="E353" s="363">
        <v>11.44</v>
      </c>
      <c r="F353" s="363">
        <f t="shared" si="58"/>
        <v>-54432.172800000015</v>
      </c>
      <c r="G353" s="363">
        <f t="shared" si="59"/>
        <v>176588.49280000001</v>
      </c>
      <c r="H353" s="364">
        <f t="shared" si="57"/>
        <v>-0.30824303405572762</v>
      </c>
      <c r="I353" s="363"/>
    </row>
    <row r="354" spans="2:14" x14ac:dyDescent="0.25">
      <c r="B354" s="620">
        <v>42500</v>
      </c>
      <c r="C354" s="362">
        <v>9678</v>
      </c>
      <c r="D354" s="621">
        <v>17.042100000000001</v>
      </c>
      <c r="E354" s="363">
        <v>11.94</v>
      </c>
      <c r="F354" s="363">
        <f t="shared" si="58"/>
        <v>-49378.123800000016</v>
      </c>
      <c r="G354" s="363">
        <f t="shared" si="59"/>
        <v>164933.44380000001</v>
      </c>
      <c r="H354" s="364">
        <f t="shared" si="57"/>
        <v>-0.2993821184009014</v>
      </c>
      <c r="I354" s="363"/>
    </row>
    <row r="355" spans="2:14" x14ac:dyDescent="0.25">
      <c r="B355" s="620">
        <v>42502</v>
      </c>
      <c r="C355" s="362">
        <v>10678</v>
      </c>
      <c r="D355" s="621">
        <v>16.601800000000001</v>
      </c>
      <c r="E355" s="363">
        <v>12.33</v>
      </c>
      <c r="F355" s="363">
        <f t="shared" si="58"/>
        <v>-45614.280400000011</v>
      </c>
      <c r="G355" s="363">
        <f t="shared" si="59"/>
        <v>177274.02040000001</v>
      </c>
      <c r="H355" s="364">
        <f t="shared" si="57"/>
        <v>-0.25730944837306802</v>
      </c>
      <c r="I355" s="363"/>
    </row>
    <row r="356" spans="2:14" x14ac:dyDescent="0.25">
      <c r="B356" s="620">
        <v>42502</v>
      </c>
      <c r="C356" s="362">
        <v>9678</v>
      </c>
      <c r="D356" s="621">
        <v>17.0334</v>
      </c>
      <c r="E356" s="363">
        <v>12.33</v>
      </c>
      <c r="F356" s="363">
        <f t="shared" si="58"/>
        <v>-45519.5052</v>
      </c>
      <c r="G356" s="363">
        <f t="shared" si="59"/>
        <v>164849.2452</v>
      </c>
      <c r="H356" s="364">
        <f t="shared" si="57"/>
        <v>-0.27612807777660364</v>
      </c>
      <c r="I356" s="363"/>
    </row>
    <row r="357" spans="2:14" x14ac:dyDescent="0.25">
      <c r="B357" s="620">
        <v>42503</v>
      </c>
      <c r="C357" s="362">
        <v>9678</v>
      </c>
      <c r="D357" s="621">
        <v>17.029299999999999</v>
      </c>
      <c r="E357" s="363">
        <v>12.3</v>
      </c>
      <c r="F357" s="363">
        <f t="shared" si="58"/>
        <v>-45770.165399999983</v>
      </c>
      <c r="G357" s="363">
        <f t="shared" si="59"/>
        <v>164809.56539999999</v>
      </c>
      <c r="H357" s="364">
        <f t="shared" si="57"/>
        <v>-0.27771546687180321</v>
      </c>
      <c r="I357" s="363"/>
    </row>
    <row r="358" spans="2:14" x14ac:dyDescent="0.25">
      <c r="B358" s="620">
        <v>42506</v>
      </c>
      <c r="C358" s="362">
        <v>9678</v>
      </c>
      <c r="D358" s="621">
        <v>17.027699999999999</v>
      </c>
      <c r="E358" s="363">
        <v>12.78</v>
      </c>
      <c r="F358" s="363">
        <f t="shared" si="58"/>
        <v>-41109.240599999997</v>
      </c>
      <c r="G358" s="363">
        <f t="shared" si="59"/>
        <v>164794.08059999999</v>
      </c>
      <c r="H358" s="364">
        <f t="shared" si="57"/>
        <v>-0.24945823569830336</v>
      </c>
      <c r="I358" s="363"/>
    </row>
    <row r="359" spans="2:14" x14ac:dyDescent="0.25">
      <c r="B359" s="620">
        <v>42513</v>
      </c>
      <c r="C359" s="362">
        <v>9178</v>
      </c>
      <c r="D359" s="621">
        <v>17.244399999999999</v>
      </c>
      <c r="E359" s="363">
        <v>13.19</v>
      </c>
      <c r="F359" s="363">
        <f t="shared" si="58"/>
        <v>-37211.283199999991</v>
      </c>
      <c r="G359" s="363">
        <f t="shared" si="59"/>
        <v>158269.10319999998</v>
      </c>
      <c r="H359" s="364">
        <f t="shared" si="57"/>
        <v>-0.23511400802579385</v>
      </c>
      <c r="I359" s="363"/>
    </row>
    <row r="360" spans="2:14" x14ac:dyDescent="0.25">
      <c r="B360" s="620">
        <v>42514</v>
      </c>
      <c r="C360" s="362">
        <v>9678</v>
      </c>
      <c r="D360" s="621">
        <v>17.026</v>
      </c>
      <c r="E360" s="363">
        <v>13.02</v>
      </c>
      <c r="F360" s="363">
        <f t="shared" si="58"/>
        <v>-38770.067999999999</v>
      </c>
      <c r="G360" s="363">
        <f t="shared" si="59"/>
        <v>164777.628</v>
      </c>
      <c r="H360" s="364">
        <f t="shared" si="57"/>
        <v>-0.23528720779983556</v>
      </c>
      <c r="I360" s="363"/>
    </row>
    <row r="361" spans="2:14" x14ac:dyDescent="0.25">
      <c r="B361" s="620">
        <v>42515</v>
      </c>
      <c r="C361" s="362">
        <v>9178</v>
      </c>
      <c r="D361" s="621">
        <v>17.206800000000001</v>
      </c>
      <c r="E361" s="363">
        <v>13.54</v>
      </c>
      <c r="F361" s="363">
        <f t="shared" si="58"/>
        <v>-33653.890400000018</v>
      </c>
      <c r="G361" s="363">
        <f t="shared" si="59"/>
        <v>157924.0104</v>
      </c>
      <c r="H361" s="364">
        <f t="shared" si="57"/>
        <v>-0.21310179696399109</v>
      </c>
      <c r="I361" s="363"/>
    </row>
    <row r="362" spans="2:14" x14ac:dyDescent="0.25">
      <c r="B362" s="620">
        <v>42516</v>
      </c>
      <c r="C362" s="362">
        <v>9678</v>
      </c>
      <c r="D362" s="621">
        <v>17.003799999999998</v>
      </c>
      <c r="E362" s="363">
        <v>13.17</v>
      </c>
      <c r="F362" s="363">
        <f t="shared" si="58"/>
        <v>-37103.516399999986</v>
      </c>
      <c r="G362" s="363">
        <f t="shared" si="59"/>
        <v>164562.77639999997</v>
      </c>
      <c r="H362" s="364">
        <f t="shared" si="57"/>
        <v>-0.22546724849739463</v>
      </c>
      <c r="I362" s="363"/>
    </row>
    <row r="363" spans="2:14" x14ac:dyDescent="0.25">
      <c r="B363" s="620">
        <v>42517</v>
      </c>
      <c r="C363" s="362">
        <v>9678</v>
      </c>
      <c r="D363" s="621">
        <v>16.999700000000001</v>
      </c>
      <c r="E363" s="363">
        <v>12.9</v>
      </c>
      <c r="F363" s="363">
        <f t="shared" si="58"/>
        <v>-39676.8966</v>
      </c>
      <c r="G363" s="363">
        <f t="shared" si="59"/>
        <v>164523.09660000002</v>
      </c>
      <c r="H363" s="364">
        <f t="shared" si="57"/>
        <v>-0.2411630793484591</v>
      </c>
      <c r="I363" s="363"/>
    </row>
    <row r="364" spans="2:14" ht="15" customHeight="1" x14ac:dyDescent="0.25">
      <c r="B364" s="620">
        <v>42525</v>
      </c>
      <c r="C364" s="362">
        <v>9678</v>
      </c>
      <c r="D364" s="621">
        <v>16.9956</v>
      </c>
      <c r="E364" s="363">
        <v>13.32</v>
      </c>
      <c r="F364" s="363">
        <f t="shared" si="58"/>
        <v>-35572.456799999993</v>
      </c>
      <c r="G364" s="363">
        <f t="shared" si="59"/>
        <v>164483.41680000001</v>
      </c>
      <c r="H364" s="364">
        <f t="shared" si="57"/>
        <v>-0.21626773988561743</v>
      </c>
      <c r="I364" s="363"/>
    </row>
    <row r="365" spans="2:14" x14ac:dyDescent="0.25">
      <c r="B365" s="620">
        <v>42527</v>
      </c>
      <c r="C365" s="362">
        <v>8178</v>
      </c>
      <c r="D365" s="621">
        <v>17.568999999999999</v>
      </c>
      <c r="E365" s="363">
        <v>13.96</v>
      </c>
      <c r="F365" s="363">
        <f t="shared" si="58"/>
        <v>-29514.401999999984</v>
      </c>
      <c r="G365" s="363">
        <f t="shared" si="59"/>
        <v>143679.28200000001</v>
      </c>
      <c r="H365" s="364">
        <f t="shared" si="57"/>
        <v>-0.20541863509590746</v>
      </c>
      <c r="I365" s="363"/>
    </row>
    <row r="366" spans="2:14" x14ac:dyDescent="0.25">
      <c r="B366" s="620">
        <v>42528</v>
      </c>
      <c r="C366" s="362">
        <v>7678</v>
      </c>
      <c r="D366" s="621">
        <v>17.759599999999999</v>
      </c>
      <c r="E366" s="363">
        <v>14.62</v>
      </c>
      <c r="F366" s="363">
        <f t="shared" si="58"/>
        <v>-24105.848799999996</v>
      </c>
      <c r="G366" s="363">
        <f t="shared" si="59"/>
        <v>136358.20879999999</v>
      </c>
      <c r="H366" s="364">
        <f t="shared" si="57"/>
        <v>-0.17678326088425414</v>
      </c>
      <c r="I366" s="363"/>
      <c r="N366" s="29"/>
    </row>
    <row r="367" spans="2:14" x14ac:dyDescent="0.25">
      <c r="B367" s="620">
        <v>42529</v>
      </c>
      <c r="C367" s="362">
        <v>8178</v>
      </c>
      <c r="D367" s="621">
        <v>17.5654</v>
      </c>
      <c r="E367" s="363">
        <v>14.53</v>
      </c>
      <c r="F367" s="363">
        <f t="shared" si="58"/>
        <v>-24823.50120000001</v>
      </c>
      <c r="G367" s="363">
        <f t="shared" si="59"/>
        <v>143649.8412</v>
      </c>
      <c r="H367" s="364">
        <f t="shared" si="57"/>
        <v>-0.17280562924840887</v>
      </c>
      <c r="I367" s="363"/>
    </row>
    <row r="368" spans="2:14" x14ac:dyDescent="0.25">
      <c r="B368" s="620">
        <v>42531</v>
      </c>
      <c r="C368" s="362">
        <v>8978</v>
      </c>
      <c r="D368" s="621">
        <v>17.1751</v>
      </c>
      <c r="E368" s="363">
        <v>13.42</v>
      </c>
      <c r="F368" s="363">
        <f t="shared" ref="F368:F376" si="60">C368*(E368-D368)</f>
        <v>-33713.287800000006</v>
      </c>
      <c r="G368" s="363">
        <f t="shared" ref="G368:G376" si="61">IF(C368=0, 0,D368*C368)</f>
        <v>154198.0478</v>
      </c>
      <c r="H368" s="364">
        <f t="shared" ref="H368:H376" si="62">IF(C368=0, D368, (E368-D368)/D368)</f>
        <v>-0.21863628159370255</v>
      </c>
      <c r="I368" s="363"/>
    </row>
    <row r="369" spans="2:9" x14ac:dyDescent="0.25">
      <c r="B369" s="620">
        <v>42531</v>
      </c>
      <c r="C369" s="383">
        <v>9278</v>
      </c>
      <c r="D369" s="622">
        <v>17.1052</v>
      </c>
      <c r="E369" s="363">
        <v>13.42</v>
      </c>
      <c r="F369" s="363">
        <f t="shared" si="60"/>
        <v>-34191.285600000003</v>
      </c>
      <c r="G369" s="363">
        <f t="shared" si="61"/>
        <v>158702.04560000001</v>
      </c>
      <c r="H369" s="364">
        <f t="shared" si="62"/>
        <v>-0.21544325702125669</v>
      </c>
      <c r="I369" s="363"/>
    </row>
    <row r="370" spans="2:9" x14ac:dyDescent="0.25">
      <c r="B370" s="620">
        <v>42532</v>
      </c>
      <c r="C370" s="362">
        <v>9278</v>
      </c>
      <c r="D370" s="621">
        <v>17.053000000000001</v>
      </c>
      <c r="E370" s="363">
        <v>13.42</v>
      </c>
      <c r="F370" s="363">
        <f t="shared" si="60"/>
        <v>-33706.974000000009</v>
      </c>
      <c r="G370" s="363">
        <f t="shared" si="61"/>
        <v>158217.734</v>
      </c>
      <c r="H370" s="364">
        <f t="shared" si="62"/>
        <v>-0.21304169354365804</v>
      </c>
      <c r="I370" s="363" t="s">
        <v>182</v>
      </c>
    </row>
    <row r="371" spans="2:9" x14ac:dyDescent="0.25">
      <c r="B371" s="620">
        <v>42535</v>
      </c>
      <c r="C371" s="362">
        <v>9678</v>
      </c>
      <c r="D371" s="621">
        <v>16.879300000000001</v>
      </c>
      <c r="E371" s="363">
        <v>13.23</v>
      </c>
      <c r="F371" s="363">
        <f t="shared" si="60"/>
        <v>-35317.9254</v>
      </c>
      <c r="G371" s="363">
        <f t="shared" si="61"/>
        <v>163357.86540000001</v>
      </c>
      <c r="H371" s="364">
        <f t="shared" si="62"/>
        <v>-0.21619972392220058</v>
      </c>
      <c r="I371" s="363" t="s">
        <v>216</v>
      </c>
    </row>
    <row r="372" spans="2:9" x14ac:dyDescent="0.25">
      <c r="B372" s="620">
        <v>42536</v>
      </c>
      <c r="C372" s="362">
        <v>9278</v>
      </c>
      <c r="D372" s="621">
        <v>17.027999999999999</v>
      </c>
      <c r="E372" s="363">
        <v>13.06</v>
      </c>
      <c r="F372" s="363">
        <f t="shared" si="60"/>
        <v>-36815.103999999985</v>
      </c>
      <c r="G372" s="363">
        <f t="shared" si="61"/>
        <v>157985.78399999999</v>
      </c>
      <c r="H372" s="364">
        <f t="shared" si="62"/>
        <v>-0.23302795395818643</v>
      </c>
      <c r="I372" s="363"/>
    </row>
    <row r="373" spans="2:9" x14ac:dyDescent="0.25">
      <c r="B373" s="620">
        <v>42537</v>
      </c>
      <c r="C373" s="383">
        <v>9278</v>
      </c>
      <c r="D373" s="622">
        <v>17.0168</v>
      </c>
      <c r="E373" s="363">
        <v>12.67</v>
      </c>
      <c r="F373" s="363">
        <f t="shared" si="60"/>
        <v>-40329.610399999998</v>
      </c>
      <c r="G373" s="363">
        <f t="shared" si="61"/>
        <v>157881.87039999999</v>
      </c>
      <c r="H373" s="364">
        <f t="shared" si="62"/>
        <v>-0.25544168116214566</v>
      </c>
      <c r="I373" s="363"/>
    </row>
    <row r="374" spans="2:9" x14ac:dyDescent="0.25">
      <c r="B374" s="620">
        <v>42538</v>
      </c>
      <c r="C374" s="383">
        <v>9278</v>
      </c>
      <c r="D374" s="622">
        <v>17.0061</v>
      </c>
      <c r="E374" s="363">
        <v>13.16</v>
      </c>
      <c r="F374" s="363">
        <f t="shared" si="60"/>
        <v>-35684.1158</v>
      </c>
      <c r="G374" s="363">
        <f t="shared" si="61"/>
        <v>157782.59580000001</v>
      </c>
      <c r="H374" s="364">
        <f t="shared" si="62"/>
        <v>-0.2261600249322302</v>
      </c>
      <c r="I374" s="363"/>
    </row>
    <row r="375" spans="2:9" x14ac:dyDescent="0.25">
      <c r="B375" s="620">
        <v>42541</v>
      </c>
      <c r="C375" s="362">
        <v>7678</v>
      </c>
      <c r="D375" s="621">
        <v>17.568000000000001</v>
      </c>
      <c r="E375" s="363">
        <v>14.48</v>
      </c>
      <c r="F375" s="363">
        <f t="shared" si="60"/>
        <v>-23709.664000000008</v>
      </c>
      <c r="G375" s="363">
        <f t="shared" si="61"/>
        <v>134887.10400000002</v>
      </c>
      <c r="H375" s="365">
        <f t="shared" si="62"/>
        <v>-0.17577413479052828</v>
      </c>
      <c r="I375" s="363"/>
    </row>
    <row r="376" spans="2:9" x14ac:dyDescent="0.25">
      <c r="B376" s="620">
        <v>42542</v>
      </c>
      <c r="C376" s="362">
        <v>6800</v>
      </c>
      <c r="D376" s="621">
        <v>17.892099999999999</v>
      </c>
      <c r="E376" s="363">
        <v>15.09</v>
      </c>
      <c r="F376" s="363">
        <f t="shared" si="60"/>
        <v>-19054.279999999995</v>
      </c>
      <c r="G376" s="363">
        <f t="shared" si="61"/>
        <v>121666.28</v>
      </c>
      <c r="H376" s="365">
        <f t="shared" si="62"/>
        <v>-0.15661101827063337</v>
      </c>
      <c r="I376" s="363"/>
    </row>
    <row r="377" spans="2:9" x14ac:dyDescent="0.25">
      <c r="B377" s="620">
        <v>42543</v>
      </c>
      <c r="C377" s="362">
        <v>7300</v>
      </c>
      <c r="D377" s="621">
        <v>17.6769</v>
      </c>
      <c r="E377" s="363">
        <v>14.75</v>
      </c>
      <c r="F377" s="363">
        <f t="shared" ref="F377:F385" si="63">C377*(E377-D377)</f>
        <v>-21366.37</v>
      </c>
      <c r="G377" s="363">
        <f t="shared" ref="G377:G385" si="64">IF(C377=0, 0,D377*C377)</f>
        <v>129041.37</v>
      </c>
      <c r="H377" s="365">
        <f t="shared" ref="H377:H385" si="65">IF(C377=0, D377, (E377-D377)/D377)</f>
        <v>-0.16557767481854849</v>
      </c>
      <c r="I377" s="363"/>
    </row>
    <row r="378" spans="2:9" x14ac:dyDescent="0.25">
      <c r="B378" s="620">
        <v>42544</v>
      </c>
      <c r="C378" s="362">
        <v>6800</v>
      </c>
      <c r="D378" s="621">
        <v>17.856100000000001</v>
      </c>
      <c r="E378" s="363">
        <v>15.27</v>
      </c>
      <c r="F378" s="363">
        <f t="shared" si="63"/>
        <v>-17585.480000000014</v>
      </c>
      <c r="G378" s="363">
        <f t="shared" si="64"/>
        <v>121421.48000000001</v>
      </c>
      <c r="H378" s="365">
        <f t="shared" si="65"/>
        <v>-0.1448300580753917</v>
      </c>
      <c r="I378" s="363"/>
    </row>
    <row r="379" spans="2:9" x14ac:dyDescent="0.25">
      <c r="B379" s="620">
        <v>42545</v>
      </c>
      <c r="C379" s="362">
        <v>7678</v>
      </c>
      <c r="D379" s="621">
        <v>17.462</v>
      </c>
      <c r="E379" s="363">
        <v>14.41</v>
      </c>
      <c r="F379" s="363">
        <f t="shared" si="63"/>
        <v>-23433.255999999998</v>
      </c>
      <c r="G379" s="363">
        <f t="shared" si="64"/>
        <v>134073.236</v>
      </c>
      <c r="H379" s="365">
        <f t="shared" si="65"/>
        <v>-0.17477952124613444</v>
      </c>
      <c r="I379" s="363"/>
    </row>
    <row r="380" spans="2:9" x14ac:dyDescent="0.25">
      <c r="B380" s="620">
        <v>42545</v>
      </c>
      <c r="C380" s="362">
        <v>8013</v>
      </c>
      <c r="D380" s="621">
        <v>17.32</v>
      </c>
      <c r="E380" s="363">
        <v>14.68</v>
      </c>
      <c r="F380" s="363">
        <f t="shared" si="63"/>
        <v>-21154.320000000003</v>
      </c>
      <c r="G380" s="363">
        <f t="shared" si="64"/>
        <v>138785.16</v>
      </c>
      <c r="H380" s="365">
        <f t="shared" si="65"/>
        <v>-0.15242494226327949</v>
      </c>
      <c r="I380" s="363"/>
    </row>
    <row r="381" spans="2:9" x14ac:dyDescent="0.25">
      <c r="B381" s="620">
        <v>42548</v>
      </c>
      <c r="C381" s="362">
        <v>8978</v>
      </c>
      <c r="D381" s="621">
        <v>16.943300000000001</v>
      </c>
      <c r="E381" s="363">
        <v>13.66</v>
      </c>
      <c r="F381" s="363">
        <f t="shared" si="63"/>
        <v>-29477.467400000005</v>
      </c>
      <c r="G381" s="363">
        <f t="shared" si="64"/>
        <v>152116.9474</v>
      </c>
      <c r="H381" s="365">
        <f t="shared" si="65"/>
        <v>-0.19378161279089673</v>
      </c>
      <c r="I381" s="363"/>
    </row>
    <row r="382" spans="2:9" x14ac:dyDescent="0.25">
      <c r="B382" s="620">
        <v>42548</v>
      </c>
      <c r="C382" s="362">
        <v>9278</v>
      </c>
      <c r="D382" s="621">
        <v>16.834599999999998</v>
      </c>
      <c r="E382" s="363">
        <v>13.66</v>
      </c>
      <c r="F382" s="363">
        <f t="shared" si="63"/>
        <v>-29453.938799999982</v>
      </c>
      <c r="G382" s="363">
        <f t="shared" si="64"/>
        <v>156191.41879999998</v>
      </c>
      <c r="H382" s="364">
        <f t="shared" si="65"/>
        <v>-0.18857590913951019</v>
      </c>
      <c r="I382" s="363"/>
    </row>
    <row r="383" spans="2:9" x14ac:dyDescent="0.25">
      <c r="B383" s="620">
        <v>42549</v>
      </c>
      <c r="C383" s="362">
        <v>8178</v>
      </c>
      <c r="D383" s="621">
        <v>17.124400000000001</v>
      </c>
      <c r="E383" s="363">
        <v>14.78</v>
      </c>
      <c r="F383" s="363">
        <f t="shared" si="63"/>
        <v>-19172.503200000017</v>
      </c>
      <c r="G383" s="363">
        <f t="shared" si="64"/>
        <v>140043.3432</v>
      </c>
      <c r="H383" s="364">
        <f t="shared" si="65"/>
        <v>-0.13690406671182651</v>
      </c>
      <c r="I383" s="363">
        <v>17</v>
      </c>
    </row>
    <row r="384" spans="2:9" x14ac:dyDescent="0.25">
      <c r="B384" s="620">
        <v>42552</v>
      </c>
      <c r="C384" s="362">
        <v>7678</v>
      </c>
      <c r="D384" s="621">
        <v>17.2315</v>
      </c>
      <c r="E384" s="363">
        <v>15.48</v>
      </c>
      <c r="F384" s="363">
        <f t="shared" si="63"/>
        <v>-13448.017</v>
      </c>
      <c r="G384" s="363">
        <f t="shared" si="64"/>
        <v>132303.45699999999</v>
      </c>
      <c r="H384" s="364">
        <f t="shared" si="65"/>
        <v>-0.1016452427240809</v>
      </c>
      <c r="I384" s="363">
        <v>17</v>
      </c>
    </row>
    <row r="385" spans="2:9" ht="15" customHeight="1" x14ac:dyDescent="0.25">
      <c r="B385" s="620">
        <v>42552</v>
      </c>
      <c r="C385" s="362">
        <v>7300</v>
      </c>
      <c r="D385" s="621">
        <v>17.313400000000001</v>
      </c>
      <c r="E385" s="363">
        <v>15.65</v>
      </c>
      <c r="F385" s="363">
        <f t="shared" si="63"/>
        <v>-12142.820000000009</v>
      </c>
      <c r="G385" s="363">
        <f t="shared" si="64"/>
        <v>126387.82</v>
      </c>
      <c r="H385" s="364">
        <f t="shared" si="65"/>
        <v>-9.6075871868032903E-2</v>
      </c>
      <c r="I385" s="363"/>
    </row>
    <row r="386" spans="2:9" x14ac:dyDescent="0.25">
      <c r="B386" s="620">
        <v>42552</v>
      </c>
      <c r="C386" s="362">
        <v>6800</v>
      </c>
      <c r="D386" s="621">
        <v>17.446100000000001</v>
      </c>
      <c r="E386" s="363">
        <v>15.7</v>
      </c>
      <c r="F386" s="363">
        <f t="shared" ref="F386:F407" si="66">C386*(E386-D386)</f>
        <v>-11873.480000000014</v>
      </c>
      <c r="G386" s="363">
        <f t="shared" ref="G386:G407" si="67">IF(C386=0, 0,D386*C386)</f>
        <v>118633.48000000001</v>
      </c>
      <c r="H386" s="364">
        <f t="shared" ref="H386:H407" si="68">IF(C386=0, D386, (E386-D386)/D386)</f>
        <v>-0.10008540590733757</v>
      </c>
      <c r="I386" s="363"/>
    </row>
    <row r="387" spans="2:9" x14ac:dyDescent="0.25">
      <c r="B387" s="620">
        <v>42552</v>
      </c>
      <c r="C387" s="362">
        <v>6000</v>
      </c>
      <c r="D387" s="621">
        <v>17.668199999999999</v>
      </c>
      <c r="E387" s="363">
        <v>15.68</v>
      </c>
      <c r="F387" s="363">
        <f t="shared" si="66"/>
        <v>-11929.199999999995</v>
      </c>
      <c r="G387" s="363">
        <f t="shared" si="67"/>
        <v>106009.2</v>
      </c>
      <c r="H387" s="364">
        <f t="shared" si="68"/>
        <v>-0.11252985589929926</v>
      </c>
      <c r="I387" s="363"/>
    </row>
    <row r="388" spans="2:9" x14ac:dyDescent="0.25">
      <c r="B388" s="620">
        <v>42556</v>
      </c>
      <c r="C388" s="362">
        <v>8178</v>
      </c>
      <c r="D388" s="621">
        <v>16.978899999999999</v>
      </c>
      <c r="E388" s="363">
        <v>14.72</v>
      </c>
      <c r="F388" s="363">
        <f t="shared" si="66"/>
        <v>-18473.284199999991</v>
      </c>
      <c r="G388" s="363">
        <f t="shared" si="67"/>
        <v>138853.4442</v>
      </c>
      <c r="H388" s="364">
        <f t="shared" si="68"/>
        <v>-0.13304159869013887</v>
      </c>
      <c r="I388" s="363">
        <v>16.75</v>
      </c>
    </row>
    <row r="389" spans="2:9" x14ac:dyDescent="0.25">
      <c r="B389" s="620">
        <v>42556</v>
      </c>
      <c r="C389" s="362">
        <v>8678</v>
      </c>
      <c r="D389" s="621">
        <v>16.843</v>
      </c>
      <c r="E389" s="363">
        <v>14.72</v>
      </c>
      <c r="F389" s="363">
        <f t="shared" si="66"/>
        <v>-18423.393999999993</v>
      </c>
      <c r="G389" s="363">
        <f t="shared" si="67"/>
        <v>146163.554</v>
      </c>
      <c r="H389" s="364">
        <f t="shared" si="68"/>
        <v>-0.12604642878347083</v>
      </c>
      <c r="I389" s="363"/>
    </row>
    <row r="390" spans="2:9" x14ac:dyDescent="0.25">
      <c r="B390" s="620">
        <v>42557</v>
      </c>
      <c r="C390" s="362">
        <v>8178</v>
      </c>
      <c r="D390" s="621">
        <v>16.960599999999999</v>
      </c>
      <c r="E390" s="363">
        <v>14.84</v>
      </c>
      <c r="F390" s="363">
        <f t="shared" si="66"/>
        <v>-17342.266799999998</v>
      </c>
      <c r="G390" s="363">
        <f t="shared" si="67"/>
        <v>138703.7868</v>
      </c>
      <c r="H390" s="364">
        <f t="shared" si="68"/>
        <v>-0.12503095409360515</v>
      </c>
      <c r="I390" s="363">
        <v>16.75</v>
      </c>
    </row>
    <row r="391" spans="2:9" x14ac:dyDescent="0.25">
      <c r="B391" s="620">
        <v>42557</v>
      </c>
      <c r="C391" s="362">
        <v>8678</v>
      </c>
      <c r="D391" s="621">
        <v>16.835000000000001</v>
      </c>
      <c r="E391" s="363">
        <v>14.84</v>
      </c>
      <c r="F391" s="363">
        <f t="shared" si="66"/>
        <v>-17312.610000000008</v>
      </c>
      <c r="G391" s="363">
        <f t="shared" si="67"/>
        <v>146094.13</v>
      </c>
      <c r="H391" s="364">
        <f t="shared" si="68"/>
        <v>-0.11850311850311855</v>
      </c>
      <c r="I391" s="363"/>
    </row>
    <row r="392" spans="2:9" x14ac:dyDescent="0.25">
      <c r="B392" s="620">
        <v>42559</v>
      </c>
      <c r="C392" s="362">
        <v>8678</v>
      </c>
      <c r="D392" s="621">
        <v>16.835000000000001</v>
      </c>
      <c r="E392" s="363">
        <v>14.92</v>
      </c>
      <c r="F392" s="363">
        <f t="shared" si="66"/>
        <v>-16618.370000000006</v>
      </c>
      <c r="G392" s="363">
        <f t="shared" si="67"/>
        <v>146094.13</v>
      </c>
      <c r="H392" s="364">
        <f t="shared" si="68"/>
        <v>-0.1137511137511138</v>
      </c>
      <c r="I392" s="363"/>
    </row>
    <row r="393" spans="2:9" x14ac:dyDescent="0.25">
      <c r="B393" s="620">
        <v>42562</v>
      </c>
      <c r="C393" s="362">
        <v>8678</v>
      </c>
      <c r="D393" s="621">
        <v>16.835000000000001</v>
      </c>
      <c r="E393" s="363">
        <v>14.69</v>
      </c>
      <c r="F393" s="363">
        <f t="shared" si="66"/>
        <v>-18614.310000000012</v>
      </c>
      <c r="G393" s="363">
        <f t="shared" si="67"/>
        <v>146094.13</v>
      </c>
      <c r="H393" s="364">
        <f t="shared" si="68"/>
        <v>-0.12741312741312749</v>
      </c>
      <c r="I393" s="363"/>
    </row>
    <row r="394" spans="2:9" x14ac:dyDescent="0.25">
      <c r="B394" s="620">
        <v>42563</v>
      </c>
      <c r="C394" s="362">
        <v>8678</v>
      </c>
      <c r="D394" s="621">
        <v>16.835000000000001</v>
      </c>
      <c r="E394" s="363">
        <v>15.6</v>
      </c>
      <c r="F394" s="363">
        <f t="shared" si="66"/>
        <v>-10717.330000000011</v>
      </c>
      <c r="G394" s="363">
        <f t="shared" si="67"/>
        <v>146094.13</v>
      </c>
      <c r="H394" s="364">
        <f t="shared" si="68"/>
        <v>-7.3359073359073421E-2</v>
      </c>
      <c r="I394" s="363"/>
    </row>
    <row r="395" spans="2:9" x14ac:dyDescent="0.25">
      <c r="B395" s="620">
        <v>42564</v>
      </c>
      <c r="C395" s="362">
        <v>8738</v>
      </c>
      <c r="D395" s="621">
        <v>16.816099999999999</v>
      </c>
      <c r="E395" s="363">
        <v>15.29</v>
      </c>
      <c r="F395" s="363">
        <f t="shared" si="66"/>
        <v>-13335.061799999996</v>
      </c>
      <c r="G395" s="363">
        <f t="shared" si="67"/>
        <v>146939.08179999999</v>
      </c>
      <c r="H395" s="364">
        <f t="shared" si="68"/>
        <v>-9.0752314745987453E-2</v>
      </c>
      <c r="I395" s="363"/>
    </row>
    <row r="396" spans="2:9" x14ac:dyDescent="0.25">
      <c r="B396" s="620">
        <v>42566</v>
      </c>
      <c r="C396" s="362">
        <v>8738</v>
      </c>
      <c r="D396" s="621">
        <v>16.816099999999999</v>
      </c>
      <c r="E396" s="363">
        <v>15.21</v>
      </c>
      <c r="F396" s="363">
        <f t="shared" si="66"/>
        <v>-14034.101799999982</v>
      </c>
      <c r="G396" s="363">
        <f t="shared" si="67"/>
        <v>146939.08179999999</v>
      </c>
      <c r="H396" s="364">
        <f t="shared" si="68"/>
        <v>-9.5509660384988079E-2</v>
      </c>
      <c r="I396" s="363"/>
    </row>
    <row r="397" spans="2:9" x14ac:dyDescent="0.25">
      <c r="B397" s="620">
        <v>42570</v>
      </c>
      <c r="C397" s="362">
        <v>9138</v>
      </c>
      <c r="D397" s="621">
        <v>16.733499999999999</v>
      </c>
      <c r="E397" s="363">
        <v>14.75</v>
      </c>
      <c r="F397" s="363">
        <f t="shared" si="66"/>
        <v>-18125.222999999994</v>
      </c>
      <c r="G397" s="363">
        <f t="shared" si="67"/>
        <v>152910.723</v>
      </c>
      <c r="H397" s="364">
        <f t="shared" si="68"/>
        <v>-0.1185346759494427</v>
      </c>
      <c r="I397" s="363"/>
    </row>
    <row r="398" spans="2:9" x14ac:dyDescent="0.25">
      <c r="B398" s="620">
        <v>42571</v>
      </c>
      <c r="C398" s="383">
        <v>9138</v>
      </c>
      <c r="D398" s="622">
        <v>16.7227</v>
      </c>
      <c r="E398" s="363">
        <v>14.84</v>
      </c>
      <c r="F398" s="363">
        <f t="shared" si="66"/>
        <v>-17204.112599999997</v>
      </c>
      <c r="G398" s="363">
        <f t="shared" si="67"/>
        <v>152812.03260000001</v>
      </c>
      <c r="H398" s="364">
        <f t="shared" si="68"/>
        <v>-0.11258349429218965</v>
      </c>
      <c r="I398" s="363"/>
    </row>
    <row r="399" spans="2:9" x14ac:dyDescent="0.25">
      <c r="B399" s="620">
        <v>42572</v>
      </c>
      <c r="C399" s="362">
        <v>9138</v>
      </c>
      <c r="D399" s="621">
        <v>16.718900000000001</v>
      </c>
      <c r="E399" s="363">
        <v>14.42</v>
      </c>
      <c r="F399" s="363">
        <f t="shared" si="66"/>
        <v>-21007.348200000015</v>
      </c>
      <c r="G399" s="363">
        <f t="shared" si="67"/>
        <v>152777.3082</v>
      </c>
      <c r="H399" s="364">
        <f t="shared" si="68"/>
        <v>-0.13750306539305823</v>
      </c>
      <c r="I399" s="363"/>
    </row>
    <row r="400" spans="2:9" x14ac:dyDescent="0.25">
      <c r="B400" s="620">
        <v>42573</v>
      </c>
      <c r="C400" s="362">
        <v>9278</v>
      </c>
      <c r="D400" s="621">
        <v>16.679099999999998</v>
      </c>
      <c r="E400" s="363">
        <v>14.11</v>
      </c>
      <c r="F400" s="363">
        <f t="shared" si="66"/>
        <v>-23836.109799999987</v>
      </c>
      <c r="G400" s="363">
        <f t="shared" si="67"/>
        <v>154748.68979999999</v>
      </c>
      <c r="H400" s="364">
        <f t="shared" si="68"/>
        <v>-0.15403109280476759</v>
      </c>
      <c r="I400" s="363"/>
    </row>
    <row r="401" spans="2:9" x14ac:dyDescent="0.25">
      <c r="B401" s="620">
        <v>42576</v>
      </c>
      <c r="C401" s="362">
        <v>9478</v>
      </c>
      <c r="D401" s="621">
        <v>16.613099999999999</v>
      </c>
      <c r="E401" s="363">
        <v>13.58</v>
      </c>
      <c r="F401" s="363">
        <f t="shared" si="66"/>
        <v>-28747.721799999992</v>
      </c>
      <c r="G401" s="363">
        <f t="shared" si="67"/>
        <v>157458.96179999999</v>
      </c>
      <c r="H401" s="364">
        <f t="shared" si="68"/>
        <v>-0.18257278894366491</v>
      </c>
      <c r="I401" s="363"/>
    </row>
    <row r="402" spans="2:9" x14ac:dyDescent="0.25">
      <c r="B402" s="620">
        <v>42577</v>
      </c>
      <c r="C402" s="383">
        <v>9278</v>
      </c>
      <c r="D402" s="622">
        <v>16.674199999999999</v>
      </c>
      <c r="E402" s="363">
        <v>13.78</v>
      </c>
      <c r="F402" s="363">
        <f t="shared" si="66"/>
        <v>-26852.387599999998</v>
      </c>
      <c r="G402" s="363">
        <f t="shared" si="67"/>
        <v>154703.22759999998</v>
      </c>
      <c r="H402" s="364">
        <f t="shared" si="68"/>
        <v>-0.17357354475776948</v>
      </c>
      <c r="I402" s="363">
        <v>16.53</v>
      </c>
    </row>
    <row r="403" spans="2:9" x14ac:dyDescent="0.25">
      <c r="B403" s="620">
        <v>42578</v>
      </c>
      <c r="C403" s="383">
        <v>9478</v>
      </c>
      <c r="D403" s="622">
        <v>16.6004</v>
      </c>
      <c r="E403" s="363">
        <v>13.13</v>
      </c>
      <c r="F403" s="363">
        <f t="shared" si="66"/>
        <v>-32892.451199999996</v>
      </c>
      <c r="G403" s="363">
        <f t="shared" si="67"/>
        <v>157338.5912</v>
      </c>
      <c r="H403" s="364">
        <f t="shared" si="68"/>
        <v>-0.20905520348907253</v>
      </c>
      <c r="I403" s="363"/>
    </row>
    <row r="404" spans="2:9" x14ac:dyDescent="0.25">
      <c r="B404" s="620">
        <v>42580</v>
      </c>
      <c r="C404" s="362">
        <v>9478</v>
      </c>
      <c r="D404" s="621">
        <v>16.599</v>
      </c>
      <c r="E404" s="363">
        <v>13.64</v>
      </c>
      <c r="F404" s="363">
        <f t="shared" si="66"/>
        <v>-28045.401999999998</v>
      </c>
      <c r="G404" s="363">
        <f t="shared" si="67"/>
        <v>157325.32200000001</v>
      </c>
      <c r="H404" s="365">
        <f t="shared" si="68"/>
        <v>-0.17826375082836313</v>
      </c>
      <c r="I404" s="363"/>
    </row>
    <row r="405" spans="2:9" x14ac:dyDescent="0.25">
      <c r="B405" s="620">
        <v>42580</v>
      </c>
      <c r="C405" s="362">
        <v>9278</v>
      </c>
      <c r="D405" s="621">
        <v>16.664000000000001</v>
      </c>
      <c r="E405" s="363">
        <v>13.64</v>
      </c>
      <c r="F405" s="363">
        <f t="shared" si="66"/>
        <v>-28056.67200000001</v>
      </c>
      <c r="G405" s="363">
        <f t="shared" si="67"/>
        <v>154608.592</v>
      </c>
      <c r="H405" s="365">
        <f t="shared" si="68"/>
        <v>-0.18146903504560732</v>
      </c>
      <c r="I405" s="363">
        <v>16.53</v>
      </c>
    </row>
    <row r="406" spans="2:9" x14ac:dyDescent="0.25">
      <c r="B406" s="620">
        <v>42583</v>
      </c>
      <c r="C406" s="362">
        <v>9478</v>
      </c>
      <c r="D406" s="621">
        <v>16.5871</v>
      </c>
      <c r="E406" s="363">
        <v>12.92</v>
      </c>
      <c r="F406" s="363">
        <f t="shared" si="66"/>
        <v>-34756.773799999995</v>
      </c>
      <c r="G406" s="363">
        <f t="shared" si="67"/>
        <v>157212.5338</v>
      </c>
      <c r="H406" s="365">
        <f t="shared" si="68"/>
        <v>-0.22108144280796521</v>
      </c>
      <c r="I406" s="363"/>
    </row>
    <row r="407" spans="2:9" ht="15" customHeight="1" x14ac:dyDescent="0.25">
      <c r="B407" s="620">
        <v>42584</v>
      </c>
      <c r="C407" s="362">
        <v>9678</v>
      </c>
      <c r="D407" s="621">
        <v>16.5063</v>
      </c>
      <c r="E407" s="363">
        <v>12.9</v>
      </c>
      <c r="F407" s="363">
        <f t="shared" si="66"/>
        <v>-34901.771399999991</v>
      </c>
      <c r="G407" s="363">
        <f t="shared" si="67"/>
        <v>159747.97140000001</v>
      </c>
      <c r="H407" s="365">
        <f t="shared" si="68"/>
        <v>-0.21848021664455386</v>
      </c>
      <c r="I407" s="363"/>
    </row>
    <row r="408" spans="2:9" x14ac:dyDescent="0.25">
      <c r="B408" s="620">
        <v>42585</v>
      </c>
      <c r="C408" s="362">
        <v>10078</v>
      </c>
      <c r="D408" s="621">
        <v>16.5063</v>
      </c>
      <c r="E408" s="363">
        <v>12.9</v>
      </c>
      <c r="F408" s="363">
        <f t="shared" ref="F408:F423" si="69">C408*(E408-D408)</f>
        <v>-36344.291399999995</v>
      </c>
      <c r="G408" s="363">
        <f t="shared" ref="G408:G423" si="70">IF(C408=0, 0,D408*C408)</f>
        <v>166350.4914</v>
      </c>
      <c r="H408" s="365">
        <f t="shared" ref="H408:H423" si="71">IF(C408=0, D408, (E408-D408)/D408)</f>
        <v>-0.21848021664455386</v>
      </c>
      <c r="I408" s="363"/>
    </row>
    <row r="409" spans="2:9" x14ac:dyDescent="0.25">
      <c r="B409" s="620">
        <v>42586</v>
      </c>
      <c r="C409" s="362">
        <v>9678</v>
      </c>
      <c r="D409" s="621">
        <v>16.489799999999999</v>
      </c>
      <c r="E409" s="363">
        <v>13.41</v>
      </c>
      <c r="F409" s="363">
        <f t="shared" si="69"/>
        <v>-29806.304399999986</v>
      </c>
      <c r="G409" s="363">
        <f t="shared" si="70"/>
        <v>159588.28439999997</v>
      </c>
      <c r="H409" s="365">
        <f t="shared" si="71"/>
        <v>-0.1867700032747516</v>
      </c>
      <c r="I409" s="363"/>
    </row>
    <row r="410" spans="2:9" x14ac:dyDescent="0.25">
      <c r="B410" s="620">
        <v>42586</v>
      </c>
      <c r="C410" s="362">
        <v>9278</v>
      </c>
      <c r="D410" s="621">
        <v>16.609200000000001</v>
      </c>
      <c r="E410" s="363">
        <v>13.66</v>
      </c>
      <c r="F410" s="363">
        <f t="shared" si="69"/>
        <v>-27362.67760000001</v>
      </c>
      <c r="G410" s="363">
        <f t="shared" si="70"/>
        <v>154100.15760000001</v>
      </c>
      <c r="H410" s="365">
        <f t="shared" si="71"/>
        <v>-0.17756424150470829</v>
      </c>
      <c r="I410" s="363">
        <v>16.53</v>
      </c>
    </row>
    <row r="411" spans="2:9" x14ac:dyDescent="0.25">
      <c r="B411" s="620">
        <v>42586</v>
      </c>
      <c r="C411" s="362">
        <v>9138</v>
      </c>
      <c r="D411" s="621">
        <v>16.6511</v>
      </c>
      <c r="E411" s="363">
        <v>13.87</v>
      </c>
      <c r="F411" s="363">
        <f t="shared" si="69"/>
        <v>-25413.691800000004</v>
      </c>
      <c r="G411" s="363">
        <f t="shared" si="70"/>
        <v>152157.7518</v>
      </c>
      <c r="H411" s="364">
        <f t="shared" si="71"/>
        <v>-0.1670219985466426</v>
      </c>
      <c r="I411" s="363"/>
    </row>
    <row r="412" spans="2:9" x14ac:dyDescent="0.25">
      <c r="B412" s="620">
        <v>42593</v>
      </c>
      <c r="C412" s="362">
        <v>8678</v>
      </c>
      <c r="D412" s="621">
        <v>16.760300000000001</v>
      </c>
      <c r="E412" s="363">
        <v>14.61</v>
      </c>
      <c r="F412" s="363">
        <f t="shared" si="69"/>
        <v>-18660.303400000012</v>
      </c>
      <c r="G412" s="363">
        <f t="shared" si="70"/>
        <v>145445.88340000002</v>
      </c>
      <c r="H412" s="364">
        <f t="shared" si="71"/>
        <v>-0.12829722618330228</v>
      </c>
      <c r="I412" s="363"/>
    </row>
    <row r="413" spans="2:9" x14ac:dyDescent="0.25">
      <c r="B413" s="620">
        <v>42597</v>
      </c>
      <c r="C413" s="362">
        <v>8678</v>
      </c>
      <c r="D413" s="621">
        <v>16.7471</v>
      </c>
      <c r="E413" s="363">
        <v>14.9</v>
      </c>
      <c r="F413" s="363">
        <f t="shared" si="69"/>
        <v>-16029.133799999994</v>
      </c>
      <c r="G413" s="363">
        <f t="shared" si="70"/>
        <v>145331.33379999999</v>
      </c>
      <c r="H413" s="364">
        <f t="shared" si="71"/>
        <v>-0.11029372249523794</v>
      </c>
      <c r="I413" s="363"/>
    </row>
    <row r="414" spans="2:9" ht="15" customHeight="1" x14ac:dyDescent="0.25">
      <c r="B414" s="620">
        <v>42598</v>
      </c>
      <c r="C414" s="362">
        <v>8178</v>
      </c>
      <c r="D414" s="621">
        <v>16.8429</v>
      </c>
      <c r="E414" s="363">
        <v>15.17</v>
      </c>
      <c r="F414" s="363">
        <f t="shared" si="69"/>
        <v>-13680.976200000003</v>
      </c>
      <c r="G414" s="363">
        <f t="shared" si="70"/>
        <v>137741.23620000001</v>
      </c>
      <c r="H414" s="364">
        <f t="shared" si="71"/>
        <v>-9.9323750660515728E-2</v>
      </c>
      <c r="I414" s="363">
        <v>16.75</v>
      </c>
    </row>
    <row r="415" spans="2:9" x14ac:dyDescent="0.25">
      <c r="B415" s="620">
        <v>42599</v>
      </c>
      <c r="C415" s="362">
        <v>7178</v>
      </c>
      <c r="D415" s="621">
        <v>17.009899999999998</v>
      </c>
      <c r="E415" s="363">
        <v>15.7</v>
      </c>
      <c r="F415" s="363">
        <f t="shared" si="69"/>
        <v>-9402.4621999999927</v>
      </c>
      <c r="G415" s="363">
        <f t="shared" si="70"/>
        <v>122097.06219999999</v>
      </c>
      <c r="H415" s="364">
        <f t="shared" si="71"/>
        <v>-7.7008095285686515E-2</v>
      </c>
      <c r="I415" s="363"/>
    </row>
    <row r="416" spans="2:9" x14ac:dyDescent="0.25">
      <c r="B416" s="620">
        <v>42600</v>
      </c>
      <c r="C416" s="362">
        <v>5500</v>
      </c>
      <c r="D416" s="621">
        <v>17.185600000000001</v>
      </c>
      <c r="E416" s="363">
        <v>16.68</v>
      </c>
      <c r="F416" s="363">
        <f t="shared" si="69"/>
        <v>-2780.8000000000065</v>
      </c>
      <c r="G416" s="363">
        <f t="shared" si="70"/>
        <v>94520.8</v>
      </c>
      <c r="H416" s="364">
        <f t="shared" si="71"/>
        <v>-2.9419979517735846E-2</v>
      </c>
      <c r="I416" s="363"/>
    </row>
    <row r="417" spans="2:9" x14ac:dyDescent="0.25">
      <c r="B417" s="620">
        <v>42601</v>
      </c>
      <c r="C417" s="362">
        <v>5000</v>
      </c>
      <c r="D417" s="621">
        <v>17.222200000000001</v>
      </c>
      <c r="E417" s="363">
        <v>16.8</v>
      </c>
      <c r="F417" s="363">
        <f t="shared" si="69"/>
        <v>-2111.0000000000005</v>
      </c>
      <c r="G417" s="363">
        <f t="shared" si="70"/>
        <v>86111</v>
      </c>
      <c r="H417" s="364">
        <f t="shared" si="71"/>
        <v>-2.4514870341768188E-2</v>
      </c>
      <c r="I417" s="363"/>
    </row>
    <row r="418" spans="2:9" x14ac:dyDescent="0.25">
      <c r="B418" s="620">
        <v>42604</v>
      </c>
      <c r="C418" s="362">
        <v>6000</v>
      </c>
      <c r="D418" s="621">
        <v>16.9651</v>
      </c>
      <c r="E418" s="363">
        <v>15.64</v>
      </c>
      <c r="F418" s="363">
        <f t="shared" si="69"/>
        <v>-7950.599999999994</v>
      </c>
      <c r="G418" s="363">
        <f t="shared" si="70"/>
        <v>101790.59999999999</v>
      </c>
      <c r="H418" s="364">
        <f t="shared" si="71"/>
        <v>-7.8107408739117312E-2</v>
      </c>
      <c r="I418" s="363"/>
    </row>
    <row r="419" spans="2:9" x14ac:dyDescent="0.25">
      <c r="B419" s="620">
        <v>42604</v>
      </c>
      <c r="C419" s="362">
        <v>6500</v>
      </c>
      <c r="D419" s="621">
        <v>16.850899999999999</v>
      </c>
      <c r="E419" s="363">
        <v>15.64</v>
      </c>
      <c r="F419" s="363">
        <f t="shared" si="69"/>
        <v>-7870.8499999999922</v>
      </c>
      <c r="G419" s="363">
        <f t="shared" si="70"/>
        <v>109530.84999999999</v>
      </c>
      <c r="H419" s="364">
        <f t="shared" si="71"/>
        <v>-7.1859663282079822E-2</v>
      </c>
      <c r="I419" s="363"/>
    </row>
    <row r="420" spans="2:9" x14ac:dyDescent="0.25">
      <c r="B420" s="620">
        <v>42605</v>
      </c>
      <c r="C420" s="362">
        <v>6000</v>
      </c>
      <c r="D420" s="621">
        <v>16.923500000000001</v>
      </c>
      <c r="E420" s="363">
        <v>16.43</v>
      </c>
      <c r="F420" s="363">
        <f t="shared" si="69"/>
        <v>-2961.0000000000055</v>
      </c>
      <c r="G420" s="363">
        <f t="shared" si="70"/>
        <v>101541</v>
      </c>
      <c r="H420" s="364">
        <f t="shared" si="71"/>
        <v>-2.9160634620498178E-2</v>
      </c>
      <c r="I420" s="363"/>
    </row>
    <row r="421" spans="2:9" x14ac:dyDescent="0.25">
      <c r="B421" s="620">
        <v>42605</v>
      </c>
      <c r="C421" s="362">
        <v>5500</v>
      </c>
      <c r="D421" s="621">
        <v>16.9848</v>
      </c>
      <c r="E421" s="363">
        <v>16.43</v>
      </c>
      <c r="F421" s="363">
        <f t="shared" si="69"/>
        <v>-3051.400000000001</v>
      </c>
      <c r="G421" s="363">
        <f t="shared" si="70"/>
        <v>93416.4</v>
      </c>
      <c r="H421" s="364">
        <f t="shared" si="71"/>
        <v>-3.266450002355048E-2</v>
      </c>
      <c r="I421" s="363"/>
    </row>
    <row r="422" spans="2:9" x14ac:dyDescent="0.25">
      <c r="B422" s="620">
        <v>42605</v>
      </c>
      <c r="C422" s="362">
        <v>5000</v>
      </c>
      <c r="D422" s="621">
        <v>17.035299999999999</v>
      </c>
      <c r="E422" s="363">
        <v>16.43</v>
      </c>
      <c r="F422" s="363">
        <f t="shared" si="69"/>
        <v>-3026.4999999999986</v>
      </c>
      <c r="G422" s="363">
        <f t="shared" si="70"/>
        <v>85176.5</v>
      </c>
      <c r="H422" s="364">
        <f t="shared" si="71"/>
        <v>-3.5532100990296606E-2</v>
      </c>
      <c r="I422" s="363"/>
    </row>
    <row r="423" spans="2:9" x14ac:dyDescent="0.25">
      <c r="B423" s="620">
        <v>42606</v>
      </c>
      <c r="C423" s="362">
        <v>5178</v>
      </c>
      <c r="D423" s="621">
        <v>17.0017</v>
      </c>
      <c r="E423" s="363">
        <v>16.059999999999999</v>
      </c>
      <c r="F423" s="363">
        <f t="shared" si="69"/>
        <v>-4876.1226000000042</v>
      </c>
      <c r="G423" s="363">
        <f t="shared" si="70"/>
        <v>88034.802599999995</v>
      </c>
      <c r="H423" s="364">
        <f t="shared" si="71"/>
        <v>-5.5388578789179958E-2</v>
      </c>
      <c r="I423" s="363"/>
    </row>
    <row r="424" spans="2:9" ht="15" customHeight="1" x14ac:dyDescent="0.25">
      <c r="B424" s="620">
        <v>42607</v>
      </c>
      <c r="C424" s="362">
        <v>5178</v>
      </c>
      <c r="D424" s="621">
        <v>17.0017</v>
      </c>
      <c r="E424" s="363">
        <v>16.010000000000002</v>
      </c>
      <c r="F424" s="363">
        <f>C424*(E424-D424)</f>
        <v>-5135.0225999999902</v>
      </c>
      <c r="G424" s="363">
        <f>IF(C424=0, 0,D424*C424)</f>
        <v>88034.802599999995</v>
      </c>
      <c r="H424" s="364">
        <f>IF(C424=0, D424, (E424-D424)/D424)</f>
        <v>-5.8329461171529789E-2</v>
      </c>
      <c r="I424" s="363"/>
    </row>
    <row r="425" spans="2:9" x14ac:dyDescent="0.25">
      <c r="B425" s="620">
        <v>42608</v>
      </c>
      <c r="C425" s="362">
        <v>6178</v>
      </c>
      <c r="D425" s="621">
        <v>16.825800000000001</v>
      </c>
      <c r="E425" s="363">
        <v>15.95</v>
      </c>
      <c r="F425" s="363">
        <f>C425*(E425-D425)</f>
        <v>-5410.6924000000108</v>
      </c>
      <c r="G425" s="363">
        <f>IF(C425=0, 0,D425*C425)</f>
        <v>103949.79240000001</v>
      </c>
      <c r="H425" s="364">
        <f>IF(C425=0, D425, (E425-D425)/D425)</f>
        <v>-5.2051016890727435E-2</v>
      </c>
      <c r="I425" s="363"/>
    </row>
    <row r="426" spans="2:9" x14ac:dyDescent="0.25">
      <c r="B426" s="620">
        <v>42611</v>
      </c>
      <c r="C426" s="362">
        <v>6178</v>
      </c>
      <c r="D426" s="621">
        <v>16.825800000000001</v>
      </c>
      <c r="E426" s="363">
        <v>15.99</v>
      </c>
      <c r="F426" s="363">
        <f t="shared" ref="F426:F431" si="72">C426*(E426-D426)</f>
        <v>-5163.5724000000046</v>
      </c>
      <c r="G426" s="363">
        <f t="shared" ref="G426:G431" si="73">IF(C426=0, 0,D426*C426)</f>
        <v>103949.79240000001</v>
      </c>
      <c r="H426" s="364">
        <f t="shared" ref="H426:H431" si="74">IF(C426=0, D426, (E426-D426)/D426)</f>
        <v>-4.9673715365688452E-2</v>
      </c>
      <c r="I426" s="363"/>
    </row>
    <row r="427" spans="2:9" x14ac:dyDescent="0.25">
      <c r="B427" s="620">
        <v>42612</v>
      </c>
      <c r="C427" s="362">
        <v>6678</v>
      </c>
      <c r="D427" s="621">
        <v>16.739999999999998</v>
      </c>
      <c r="E427" s="363">
        <v>15.55</v>
      </c>
      <c r="F427" s="443">
        <f t="shared" si="72"/>
        <v>-7946.8199999999852</v>
      </c>
      <c r="G427" s="363">
        <f t="shared" si="73"/>
        <v>111789.71999999999</v>
      </c>
      <c r="H427" s="365">
        <f t="shared" si="74"/>
        <v>-7.1087216248506446E-2</v>
      </c>
      <c r="I427" s="382"/>
    </row>
    <row r="428" spans="2:9" x14ac:dyDescent="0.25">
      <c r="B428" s="620">
        <v>42612</v>
      </c>
      <c r="C428" s="362">
        <v>7178</v>
      </c>
      <c r="D428" s="621">
        <v>16.6571</v>
      </c>
      <c r="E428" s="363">
        <v>15.55</v>
      </c>
      <c r="F428" s="363">
        <f t="shared" si="72"/>
        <v>-7946.7637999999934</v>
      </c>
      <c r="G428" s="363">
        <f t="shared" si="73"/>
        <v>119564.66379999999</v>
      </c>
      <c r="H428" s="364">
        <f t="shared" si="74"/>
        <v>-6.6464150422342369E-2</v>
      </c>
      <c r="I428" s="363"/>
    </row>
    <row r="429" spans="2:9" x14ac:dyDescent="0.25">
      <c r="B429" s="620">
        <v>42613</v>
      </c>
      <c r="C429" s="362">
        <v>7678</v>
      </c>
      <c r="D429" s="621">
        <v>16.565200000000001</v>
      </c>
      <c r="E429" s="363">
        <v>15.02</v>
      </c>
      <c r="F429" s="363">
        <f t="shared" si="72"/>
        <v>-11864.04560000001</v>
      </c>
      <c r="G429" s="363">
        <f t="shared" si="73"/>
        <v>127187.60560000001</v>
      </c>
      <c r="H429" s="364">
        <f t="shared" si="74"/>
        <v>-9.3279887957887692E-2</v>
      </c>
      <c r="I429" s="363" t="s">
        <v>255</v>
      </c>
    </row>
    <row r="430" spans="2:9" x14ac:dyDescent="0.25">
      <c r="B430" s="620">
        <v>42613</v>
      </c>
      <c r="C430" s="362">
        <v>8178</v>
      </c>
      <c r="D430" s="621">
        <v>16.474399999999999</v>
      </c>
      <c r="E430" s="363">
        <v>15.02</v>
      </c>
      <c r="F430" s="363">
        <f t="shared" si="72"/>
        <v>-11894.083199999997</v>
      </c>
      <c r="G430" s="363">
        <f t="shared" si="73"/>
        <v>134727.64319999999</v>
      </c>
      <c r="H430" s="364">
        <f t="shared" si="74"/>
        <v>-8.8282426067110162E-2</v>
      </c>
      <c r="I430" s="363" t="s">
        <v>256</v>
      </c>
    </row>
    <row r="431" spans="2:9" ht="15" customHeight="1" x14ac:dyDescent="0.25">
      <c r="B431" s="620">
        <v>42615</v>
      </c>
      <c r="C431" s="362">
        <v>7678</v>
      </c>
      <c r="D431" s="621">
        <v>16.528099999999998</v>
      </c>
      <c r="E431" s="363">
        <v>15.49</v>
      </c>
      <c r="F431" s="363">
        <f t="shared" si="72"/>
        <v>-7970.5317999999861</v>
      </c>
      <c r="G431" s="363">
        <f t="shared" si="73"/>
        <v>126902.75179999998</v>
      </c>
      <c r="H431" s="364">
        <f t="shared" si="74"/>
        <v>-6.2808187268953986E-2</v>
      </c>
      <c r="I431" s="363">
        <v>16.350000000000001</v>
      </c>
    </row>
    <row r="432" spans="2:9" x14ac:dyDescent="0.25">
      <c r="B432" s="620">
        <v>42616</v>
      </c>
      <c r="C432" s="362">
        <v>7678</v>
      </c>
      <c r="D432" s="621">
        <v>16.528099999999998</v>
      </c>
      <c r="E432" s="363">
        <v>15.64</v>
      </c>
      <c r="F432" s="363">
        <f>C432*(E432-D432)</f>
        <v>-6818.8317999999836</v>
      </c>
      <c r="G432" s="363">
        <f>IF(C432=0, 0,D432*C432)</f>
        <v>126902.75179999998</v>
      </c>
      <c r="H432" s="364">
        <f>IF(C432=0, D432, (E432-D432)/D432)</f>
        <v>-5.3732733950060681E-2</v>
      </c>
      <c r="I432" s="363"/>
    </row>
    <row r="433" spans="2:9" x14ac:dyDescent="0.25">
      <c r="B433" s="620">
        <v>42621</v>
      </c>
      <c r="C433" s="362">
        <v>7178</v>
      </c>
      <c r="D433" s="621">
        <v>16.545400000000001</v>
      </c>
      <c r="E433" s="363">
        <v>16.739999999999998</v>
      </c>
      <c r="F433" s="363">
        <f>C433*(E433-D433)</f>
        <v>1396.8387999999832</v>
      </c>
      <c r="G433" s="363">
        <f>IF(C433=0, 0,D433*C433)</f>
        <v>118762.8812</v>
      </c>
      <c r="H433" s="364">
        <f>IF(C433=0, D433, (E433-D433)/D433)</f>
        <v>1.1761577235968768E-2</v>
      </c>
      <c r="I433" s="363"/>
    </row>
    <row r="434" spans="2:9" x14ac:dyDescent="0.25">
      <c r="B434" s="620">
        <v>42621</v>
      </c>
      <c r="C434" s="383">
        <v>6678</v>
      </c>
      <c r="D434" s="622">
        <v>16.532299999999999</v>
      </c>
      <c r="E434" s="363">
        <v>16.739999999999998</v>
      </c>
      <c r="F434" s="363">
        <f>C434*(E434-D434)</f>
        <v>1387.0205999999941</v>
      </c>
      <c r="G434" s="363">
        <f>IF(C434=0, 0,D434*C434)</f>
        <v>110402.6994</v>
      </c>
      <c r="H434" s="364">
        <f>IF(C434=0, D434, (E434-D434)/D434)</f>
        <v>1.256328520532528E-2</v>
      </c>
      <c r="I434" s="363"/>
    </row>
    <row r="435" spans="2:9" x14ac:dyDescent="0.25">
      <c r="B435" s="620">
        <v>42621</v>
      </c>
      <c r="C435" s="362">
        <v>6458</v>
      </c>
      <c r="D435" s="621">
        <v>16.524263999999999</v>
      </c>
      <c r="E435" s="363">
        <v>16.739999999999998</v>
      </c>
      <c r="F435" s="363">
        <f>C435*(E435-D435)</f>
        <v>1393.2230879999981</v>
      </c>
      <c r="G435" s="363">
        <f>IF(C435=0, 0,D435*C435)</f>
        <v>106713.69691199998</v>
      </c>
      <c r="H435" s="364">
        <f>IF(C435=0, D435, (E435-D435)/D435)</f>
        <v>1.3055710075801242E-2</v>
      </c>
      <c r="I435" s="363"/>
    </row>
    <row r="436" spans="2:9" x14ac:dyDescent="0.25">
      <c r="B436" s="620">
        <v>42622</v>
      </c>
      <c r="C436" s="362">
        <v>7178</v>
      </c>
      <c r="D436" s="621">
        <v>16.477945999999999</v>
      </c>
      <c r="E436" s="363">
        <v>15.67</v>
      </c>
      <c r="F436" s="363">
        <f>C436*(E436-D436)</f>
        <v>-5799.4363879999955</v>
      </c>
      <c r="G436" s="363">
        <f>IF(C436=0, 0,D436*C436)</f>
        <v>118278.696388</v>
      </c>
      <c r="H436" s="364">
        <f>IF(C436=0, D436, (E436-D436)/D436)</f>
        <v>-4.9031960658203359E-2</v>
      </c>
      <c r="I436" s="363"/>
    </row>
    <row r="437" spans="2:9" ht="15" customHeight="1" x14ac:dyDescent="0.25">
      <c r="B437" s="620">
        <v>42622</v>
      </c>
      <c r="C437" s="362">
        <v>7678</v>
      </c>
      <c r="D437" s="621">
        <v>16.430541999999999</v>
      </c>
      <c r="E437" s="363">
        <v>15.67</v>
      </c>
      <c r="F437" s="363">
        <f t="shared" ref="F437:F443" si="75">C437*(E437-D437)</f>
        <v>-5839.4414759999936</v>
      </c>
      <c r="G437" s="363">
        <f t="shared" ref="G437:G443" si="76">IF(C437=0, 0,D437*C437)</f>
        <v>126153.70147599999</v>
      </c>
      <c r="H437" s="364">
        <f t="shared" ref="H437:H443" si="77">IF(C437=0, D437, (E437-D437)/D437)</f>
        <v>-4.6288308687564853E-2</v>
      </c>
      <c r="I437" s="363">
        <v>16.350000000000001</v>
      </c>
    </row>
    <row r="438" spans="2:9" x14ac:dyDescent="0.25">
      <c r="B438" s="620">
        <v>42625</v>
      </c>
      <c r="C438" s="383">
        <v>7678</v>
      </c>
      <c r="D438" s="622">
        <v>16.412330000000001</v>
      </c>
      <c r="E438" s="363">
        <v>15.47</v>
      </c>
      <c r="F438" s="363">
        <f t="shared" si="75"/>
        <v>-7235.2097400000011</v>
      </c>
      <c r="G438" s="363">
        <f t="shared" si="76"/>
        <v>126013.86974000001</v>
      </c>
      <c r="H438" s="364">
        <f t="shared" si="77"/>
        <v>-5.7415979327737135E-2</v>
      </c>
      <c r="I438" s="363"/>
    </row>
    <row r="439" spans="2:9" x14ac:dyDescent="0.25">
      <c r="B439" s="620">
        <v>42625</v>
      </c>
      <c r="C439" s="383">
        <v>7678</v>
      </c>
      <c r="D439" s="622">
        <v>16.355817999999999</v>
      </c>
      <c r="E439" s="363">
        <v>15.47</v>
      </c>
      <c r="F439" s="363">
        <f t="shared" si="75"/>
        <v>-6801.3106039999893</v>
      </c>
      <c r="G439" s="363">
        <f t="shared" si="76"/>
        <v>125579.970604</v>
      </c>
      <c r="H439" s="364">
        <f t="shared" si="77"/>
        <v>-5.4159198885680847E-2</v>
      </c>
      <c r="I439" s="363" t="s">
        <v>270</v>
      </c>
    </row>
    <row r="440" spans="2:9" x14ac:dyDescent="0.25">
      <c r="B440" s="620">
        <v>42626</v>
      </c>
      <c r="C440" s="362">
        <v>8278</v>
      </c>
      <c r="D440" s="621">
        <v>16.25066</v>
      </c>
      <c r="E440" s="363">
        <v>14.34</v>
      </c>
      <c r="F440" s="363">
        <f t="shared" si="75"/>
        <v>-15816.44348</v>
      </c>
      <c r="G440" s="363">
        <f t="shared" si="76"/>
        <v>134522.96348000001</v>
      </c>
      <c r="H440" s="365">
        <f t="shared" si="77"/>
        <v>-0.11757430159759666</v>
      </c>
      <c r="I440" s="363"/>
    </row>
    <row r="441" spans="2:9" x14ac:dyDescent="0.25">
      <c r="B441" s="620">
        <v>42626</v>
      </c>
      <c r="C441" s="362">
        <v>8678</v>
      </c>
      <c r="D441" s="621">
        <v>16.18149</v>
      </c>
      <c r="E441" s="363">
        <v>14.34</v>
      </c>
      <c r="F441" s="363">
        <f t="shared" si="75"/>
        <v>-15980.450220000002</v>
      </c>
      <c r="G441" s="363">
        <f t="shared" si="76"/>
        <v>140422.97021999999</v>
      </c>
      <c r="H441" s="365">
        <f t="shared" si="77"/>
        <v>-0.11380225183218605</v>
      </c>
      <c r="I441" s="363"/>
    </row>
    <row r="442" spans="2:9" x14ac:dyDescent="0.25">
      <c r="B442" s="620">
        <v>42626</v>
      </c>
      <c r="C442" s="362">
        <v>8978</v>
      </c>
      <c r="D442" s="621">
        <v>16.124635000000001</v>
      </c>
      <c r="E442" s="363">
        <v>14.34</v>
      </c>
      <c r="F442" s="363">
        <f t="shared" si="75"/>
        <v>-16022.453030000013</v>
      </c>
      <c r="G442" s="363">
        <f t="shared" si="76"/>
        <v>144766.97303000002</v>
      </c>
      <c r="H442" s="365">
        <f t="shared" si="77"/>
        <v>-0.11067754401882594</v>
      </c>
      <c r="I442" s="363"/>
    </row>
    <row r="443" spans="2:9" x14ac:dyDescent="0.25">
      <c r="B443" s="620">
        <v>42626</v>
      </c>
      <c r="C443" s="362">
        <v>9278</v>
      </c>
      <c r="D443" s="621">
        <v>16.064019999999999</v>
      </c>
      <c r="E443" s="363">
        <v>14.34</v>
      </c>
      <c r="F443" s="363">
        <f t="shared" si="75"/>
        <v>-15995.457559999995</v>
      </c>
      <c r="G443" s="363">
        <f t="shared" si="76"/>
        <v>149041.97756</v>
      </c>
      <c r="H443" s="365">
        <f t="shared" si="77"/>
        <v>-0.10732182853357998</v>
      </c>
      <c r="I443" s="363" t="s">
        <v>271</v>
      </c>
    </row>
    <row r="444" spans="2:9" x14ac:dyDescent="0.25">
      <c r="B444" s="620">
        <v>42627</v>
      </c>
      <c r="C444" s="362">
        <v>9478</v>
      </c>
      <c r="D444" s="621">
        <v>16.020790999999999</v>
      </c>
      <c r="E444" s="363">
        <v>14.01</v>
      </c>
      <c r="F444" s="363">
        <f t="shared" ref="F444:F451" si="78">C444*(E444-D444)</f>
        <v>-19058.277097999995</v>
      </c>
      <c r="G444" s="363">
        <f t="shared" ref="G444:G451" si="79">IF(C444=0, 0,D444*C444)</f>
        <v>151845.05709799999</v>
      </c>
      <c r="H444" s="365">
        <f t="shared" ref="H444:H451" si="80">IF(C444=0, D444, (E444-D444)/D444)</f>
        <v>-0.1255113433537707</v>
      </c>
      <c r="I444" s="363"/>
    </row>
    <row r="445" spans="2:9" x14ac:dyDescent="0.25">
      <c r="B445" s="620">
        <v>42628</v>
      </c>
      <c r="C445" s="362">
        <v>9478</v>
      </c>
      <c r="D445" s="621">
        <v>16.015726999999998</v>
      </c>
      <c r="E445" s="363">
        <v>14.26</v>
      </c>
      <c r="F445" s="363">
        <f t="shared" si="78"/>
        <v>-16640.780505999985</v>
      </c>
      <c r="G445" s="363">
        <f t="shared" si="79"/>
        <v>151797.06050599998</v>
      </c>
      <c r="H445" s="365">
        <f t="shared" si="80"/>
        <v>-0.1096251827968845</v>
      </c>
      <c r="I445" s="363"/>
    </row>
    <row r="446" spans="2:9" x14ac:dyDescent="0.25">
      <c r="B446" s="620">
        <v>42629</v>
      </c>
      <c r="C446" s="362">
        <v>9478</v>
      </c>
      <c r="D446" s="621">
        <v>16.015726999999998</v>
      </c>
      <c r="E446" s="363">
        <v>14.24</v>
      </c>
      <c r="F446" s="363">
        <f t="shared" si="78"/>
        <v>-16830.340505999982</v>
      </c>
      <c r="G446" s="363">
        <f t="shared" si="79"/>
        <v>151797.06050599998</v>
      </c>
      <c r="H446" s="365">
        <f t="shared" si="80"/>
        <v>-0.1108739553315312</v>
      </c>
      <c r="I446" s="363"/>
    </row>
    <row r="447" spans="2:9" x14ac:dyDescent="0.25">
      <c r="B447" s="620">
        <v>42632</v>
      </c>
      <c r="C447" s="362">
        <v>9678</v>
      </c>
      <c r="D447" s="621">
        <v>15.975311</v>
      </c>
      <c r="E447" s="363">
        <v>14.09</v>
      </c>
      <c r="F447" s="363">
        <f t="shared" si="78"/>
        <v>-18246.039857999996</v>
      </c>
      <c r="G447" s="363">
        <f t="shared" si="79"/>
        <v>154609.05985799999</v>
      </c>
      <c r="H447" s="364">
        <f t="shared" si="80"/>
        <v>-0.11801404054043141</v>
      </c>
      <c r="I447" s="363"/>
    </row>
    <row r="448" spans="2:9" x14ac:dyDescent="0.25">
      <c r="B448" s="620">
        <v>42633</v>
      </c>
      <c r="C448" s="362">
        <v>9878</v>
      </c>
      <c r="D448" s="621">
        <v>15.937544000000001</v>
      </c>
      <c r="E448" s="363">
        <v>13.87</v>
      </c>
      <c r="F448" s="363">
        <f t="shared" si="78"/>
        <v>-20423.199632000014</v>
      </c>
      <c r="G448" s="363">
        <f t="shared" si="79"/>
        <v>157431.05963200002</v>
      </c>
      <c r="H448" s="364">
        <f t="shared" si="80"/>
        <v>-0.12972789282966068</v>
      </c>
      <c r="I448" s="363"/>
    </row>
    <row r="449" spans="2:9" x14ac:dyDescent="0.25">
      <c r="B449" s="620">
        <v>42633</v>
      </c>
      <c r="C449" s="362">
        <v>10000</v>
      </c>
      <c r="D449" s="621">
        <v>15.915126000000001</v>
      </c>
      <c r="E449" s="363">
        <v>13.87</v>
      </c>
      <c r="F449" s="363">
        <f t="shared" si="78"/>
        <v>-20451.260000000017</v>
      </c>
      <c r="G449" s="363">
        <f t="shared" si="79"/>
        <v>159151.26</v>
      </c>
      <c r="H449" s="364">
        <f t="shared" si="80"/>
        <v>-0.12850203008132022</v>
      </c>
      <c r="I449" s="363"/>
    </row>
    <row r="450" spans="2:9" x14ac:dyDescent="0.25">
      <c r="B450" s="620">
        <v>42634</v>
      </c>
      <c r="C450" s="362">
        <v>9678</v>
      </c>
      <c r="D450" s="621">
        <v>15.969538999999999</v>
      </c>
      <c r="E450" s="363">
        <v>14.65</v>
      </c>
      <c r="F450" s="363">
        <f t="shared" si="78"/>
        <v>-12770.498441999989</v>
      </c>
      <c r="G450" s="363">
        <f t="shared" si="79"/>
        <v>154553.19844199999</v>
      </c>
      <c r="H450" s="364">
        <f t="shared" si="80"/>
        <v>-8.2628496664806608E-2</v>
      </c>
      <c r="I450" s="363"/>
    </row>
    <row r="451" spans="2:9" x14ac:dyDescent="0.25">
      <c r="B451" s="620">
        <v>42634</v>
      </c>
      <c r="C451" s="362">
        <v>9278</v>
      </c>
      <c r="D451" s="621">
        <v>16.026872999999998</v>
      </c>
      <c r="E451" s="363">
        <v>14.65</v>
      </c>
      <c r="F451" s="363">
        <f t="shared" si="78"/>
        <v>-12774.627693999981</v>
      </c>
      <c r="G451" s="363">
        <f t="shared" si="79"/>
        <v>148697.32769399998</v>
      </c>
      <c r="H451" s="364">
        <f t="shared" si="80"/>
        <v>-8.5910270830747718E-2</v>
      </c>
      <c r="I451" s="363">
        <v>16</v>
      </c>
    </row>
    <row r="452" spans="2:9" x14ac:dyDescent="0.25">
      <c r="B452" s="620">
        <v>42635</v>
      </c>
      <c r="C452" s="362">
        <v>9278</v>
      </c>
      <c r="D452" s="621">
        <v>16.026872999999998</v>
      </c>
      <c r="E452" s="363">
        <v>14.87</v>
      </c>
      <c r="F452" s="363">
        <f t="shared" ref="F452:F463" si="81">C452*(E452-D452)</f>
        <v>-10733.467693999992</v>
      </c>
      <c r="G452" s="363">
        <f t="shared" ref="G452:G463" si="82">IF(C452=0, 0,D452*C452)</f>
        <v>148697.32769399998</v>
      </c>
      <c r="H452" s="364">
        <f t="shared" ref="H452:H463" si="83">IF(C452=0, D452, (E452-D452)/D452)</f>
        <v>-7.2183326092369937E-2</v>
      </c>
      <c r="I452" s="363"/>
    </row>
    <row r="453" spans="2:9" x14ac:dyDescent="0.25">
      <c r="B453" s="620">
        <v>42636</v>
      </c>
      <c r="C453" s="362">
        <v>9478</v>
      </c>
      <c r="D453" s="621">
        <v>15.992122</v>
      </c>
      <c r="E453" s="363">
        <v>14.49</v>
      </c>
      <c r="F453" s="363">
        <f t="shared" si="81"/>
        <v>-14237.112315999999</v>
      </c>
      <c r="G453" s="363">
        <f t="shared" si="82"/>
        <v>151573.33231600001</v>
      </c>
      <c r="H453" s="364">
        <f t="shared" si="83"/>
        <v>-9.39288732289561E-2</v>
      </c>
      <c r="I453" s="363"/>
    </row>
    <row r="454" spans="2:9" x14ac:dyDescent="0.25">
      <c r="B454" s="620">
        <v>42639</v>
      </c>
      <c r="C454" s="362">
        <v>9278</v>
      </c>
      <c r="D454" s="621">
        <v>16.019549999999999</v>
      </c>
      <c r="E454" s="363">
        <v>14.41</v>
      </c>
      <c r="F454" s="363">
        <f t="shared" si="81"/>
        <v>-14933.404899999989</v>
      </c>
      <c r="G454" s="363">
        <f t="shared" si="82"/>
        <v>148629.38489999998</v>
      </c>
      <c r="H454" s="364">
        <f t="shared" si="83"/>
        <v>-0.10047410819904422</v>
      </c>
      <c r="I454" s="363">
        <v>16</v>
      </c>
    </row>
    <row r="455" spans="2:9" x14ac:dyDescent="0.25">
      <c r="B455" s="620">
        <v>42639</v>
      </c>
      <c r="C455" s="362">
        <v>9478</v>
      </c>
      <c r="D455" s="621">
        <v>15.987468</v>
      </c>
      <c r="E455" s="363">
        <v>14.41</v>
      </c>
      <c r="F455" s="363">
        <f t="shared" si="81"/>
        <v>-14951.241703999996</v>
      </c>
      <c r="G455" s="363">
        <f t="shared" si="82"/>
        <v>151529.221704</v>
      </c>
      <c r="H455" s="364">
        <f t="shared" si="83"/>
        <v>-9.8669032519721048E-2</v>
      </c>
      <c r="I455" s="363"/>
    </row>
    <row r="456" spans="2:9" x14ac:dyDescent="0.25">
      <c r="B456" s="620">
        <v>42639</v>
      </c>
      <c r="C456" s="362">
        <v>9678</v>
      </c>
      <c r="D456" s="621">
        <v>15.954266000000001</v>
      </c>
      <c r="E456" s="363">
        <v>14.41</v>
      </c>
      <c r="F456" s="363">
        <f t="shared" si="81"/>
        <v>-14945.406348000004</v>
      </c>
      <c r="G456" s="363">
        <f t="shared" si="82"/>
        <v>154405.386348</v>
      </c>
      <c r="H456" s="364">
        <f t="shared" si="83"/>
        <v>-9.6793296538994669E-2</v>
      </c>
      <c r="I456" s="363"/>
    </row>
    <row r="457" spans="2:9" x14ac:dyDescent="0.25">
      <c r="B457" s="620">
        <v>42640</v>
      </c>
      <c r="C457" s="362">
        <v>10000</v>
      </c>
      <c r="D457" s="621">
        <v>15.890373</v>
      </c>
      <c r="E457" s="363">
        <v>14.06</v>
      </c>
      <c r="F457" s="363">
        <f t="shared" si="81"/>
        <v>-18303.73</v>
      </c>
      <c r="G457" s="363">
        <f t="shared" si="82"/>
        <v>158903.73000000001</v>
      </c>
      <c r="H457" s="364">
        <f t="shared" si="83"/>
        <v>-0.11518754153851517</v>
      </c>
      <c r="I457" s="363"/>
    </row>
    <row r="458" spans="2:9" ht="15" customHeight="1" x14ac:dyDescent="0.25">
      <c r="B458" s="620">
        <v>42641</v>
      </c>
      <c r="C458" s="362">
        <v>9278</v>
      </c>
      <c r="D458" s="621">
        <v>15.968</v>
      </c>
      <c r="E458" s="363">
        <v>15.18</v>
      </c>
      <c r="F458" s="363">
        <f t="shared" si="81"/>
        <v>-7311.0640000000021</v>
      </c>
      <c r="G458" s="363">
        <f t="shared" si="82"/>
        <v>148151.10399999999</v>
      </c>
      <c r="H458" s="364">
        <f t="shared" si="83"/>
        <v>-4.9348697394789594E-2</v>
      </c>
      <c r="I458" s="363" t="s">
        <v>283</v>
      </c>
    </row>
    <row r="459" spans="2:9" x14ac:dyDescent="0.25">
      <c r="B459" s="620">
        <v>42641</v>
      </c>
      <c r="C459" s="362">
        <v>8978</v>
      </c>
      <c r="D459" s="621">
        <v>15.991466000000001</v>
      </c>
      <c r="E459" s="363">
        <v>15.18</v>
      </c>
      <c r="F459" s="363">
        <f t="shared" si="81"/>
        <v>-7285.3417480000098</v>
      </c>
      <c r="G459" s="363">
        <f t="shared" si="82"/>
        <v>143571.38174800001</v>
      </c>
      <c r="H459" s="364">
        <f t="shared" si="83"/>
        <v>-5.0743690415875634E-2</v>
      </c>
      <c r="I459" s="363"/>
    </row>
    <row r="460" spans="2:9" x14ac:dyDescent="0.25">
      <c r="B460" s="620">
        <v>42642</v>
      </c>
      <c r="C460" s="362">
        <v>8678</v>
      </c>
      <c r="D460" s="621">
        <v>16.016100000000002</v>
      </c>
      <c r="E460" s="363">
        <v>15.9</v>
      </c>
      <c r="F460" s="363">
        <f t="shared" si="81"/>
        <v>-1007.5158000000105</v>
      </c>
      <c r="G460" s="363">
        <f t="shared" si="82"/>
        <v>138987.71580000001</v>
      </c>
      <c r="H460" s="364">
        <f t="shared" si="83"/>
        <v>-7.2489557382884214E-3</v>
      </c>
      <c r="I460" s="363"/>
    </row>
    <row r="461" spans="2:9" x14ac:dyDescent="0.25">
      <c r="B461" s="620">
        <v>42642</v>
      </c>
      <c r="C461" s="362">
        <v>7978</v>
      </c>
      <c r="D461" s="621">
        <v>16.036825</v>
      </c>
      <c r="E461" s="363">
        <v>15.9</v>
      </c>
      <c r="F461" s="363">
        <f t="shared" si="81"/>
        <v>-1091.5898499999998</v>
      </c>
      <c r="G461" s="363">
        <f t="shared" si="82"/>
        <v>127941.78985</v>
      </c>
      <c r="H461" s="364">
        <f t="shared" si="83"/>
        <v>-8.5319257396648009E-3</v>
      </c>
      <c r="I461" s="363"/>
    </row>
    <row r="462" spans="2:9" x14ac:dyDescent="0.25">
      <c r="B462" s="620">
        <v>42642</v>
      </c>
      <c r="C462" s="362">
        <v>7764</v>
      </c>
      <c r="D462" s="621">
        <v>16.038399999999999</v>
      </c>
      <c r="E462" s="363">
        <v>15.9</v>
      </c>
      <c r="F462" s="363">
        <f t="shared" si="81"/>
        <v>-1074.5375999999919</v>
      </c>
      <c r="G462" s="363">
        <f t="shared" si="82"/>
        <v>124522.1376</v>
      </c>
      <c r="H462" s="364">
        <f t="shared" si="83"/>
        <v>-8.6292897047086353E-3</v>
      </c>
      <c r="I462" s="363"/>
    </row>
    <row r="463" spans="2:9" x14ac:dyDescent="0.25">
      <c r="B463" s="620">
        <v>42642</v>
      </c>
      <c r="C463" s="362">
        <v>8178</v>
      </c>
      <c r="D463" s="621">
        <v>16.019235999999999</v>
      </c>
      <c r="E463" s="363">
        <v>15.9</v>
      </c>
      <c r="F463" s="363">
        <f t="shared" si="81"/>
        <v>-975.11200799999187</v>
      </c>
      <c r="G463" s="363">
        <f t="shared" si="82"/>
        <v>131005.31200799999</v>
      </c>
      <c r="H463" s="364">
        <f t="shared" si="83"/>
        <v>-7.4433012910228059E-3</v>
      </c>
      <c r="I463" s="363" t="s">
        <v>284</v>
      </c>
    </row>
    <row r="464" spans="2:9" x14ac:dyDescent="0.25">
      <c r="B464" s="620">
        <v>42643</v>
      </c>
      <c r="C464" s="362">
        <v>8178</v>
      </c>
      <c r="D464" s="621">
        <v>16.019235999999999</v>
      </c>
      <c r="E464" s="363">
        <v>15.81</v>
      </c>
      <c r="F464" s="363">
        <f>C464*(E464-D464)</f>
        <v>-1711.1320079999907</v>
      </c>
      <c r="G464" s="363">
        <f>IF(C464=0, 0,D464*C464)</f>
        <v>131005.31200799999</v>
      </c>
      <c r="H464" s="364">
        <f>IF(C464=0, D464, (E464-D464)/D464)</f>
        <v>-1.3061546755413234E-2</v>
      </c>
      <c r="I464" s="363"/>
    </row>
    <row r="465" spans="2:9" x14ac:dyDescent="0.25">
      <c r="B465" s="620">
        <v>42646</v>
      </c>
      <c r="C465" s="362">
        <v>8178</v>
      </c>
      <c r="D465" s="621">
        <v>16.019235999999999</v>
      </c>
      <c r="E465" s="363">
        <v>15.98</v>
      </c>
      <c r="F465" s="363">
        <f t="shared" ref="F465:F474" si="84">C465*(E465-D465)</f>
        <v>-320.8720079999913</v>
      </c>
      <c r="G465" s="363">
        <f t="shared" ref="G465:G474" si="85">IF(C465=0, 0,D465*C465)</f>
        <v>131005.31200799999</v>
      </c>
      <c r="H465" s="364">
        <f t="shared" ref="H465:H474" si="86">IF(C465=0, D465, (E465-D465)/D465)</f>
        <v>-2.4493053226757469E-3</v>
      </c>
      <c r="I465" s="363"/>
    </row>
    <row r="466" spans="2:9" x14ac:dyDescent="0.25">
      <c r="B466" s="620">
        <v>42647</v>
      </c>
      <c r="C466" s="362">
        <v>8678</v>
      </c>
      <c r="D466" s="621">
        <v>16.010061</v>
      </c>
      <c r="E466" s="363">
        <v>15.63</v>
      </c>
      <c r="F466" s="363">
        <f t="shared" si="84"/>
        <v>-3298.169357999996</v>
      </c>
      <c r="G466" s="363">
        <f t="shared" si="85"/>
        <v>138935.309358</v>
      </c>
      <c r="H466" s="364">
        <f t="shared" si="86"/>
        <v>-2.3738885192255015E-2</v>
      </c>
      <c r="I466" s="363"/>
    </row>
    <row r="467" spans="2:9" x14ac:dyDescent="0.25">
      <c r="B467" s="620">
        <v>42647</v>
      </c>
      <c r="C467" s="362">
        <v>9178</v>
      </c>
      <c r="D467" s="621">
        <v>15.988811</v>
      </c>
      <c r="E467" s="363">
        <v>15.63</v>
      </c>
      <c r="F467" s="363">
        <f t="shared" si="84"/>
        <v>-3293.1673579999938</v>
      </c>
      <c r="G467" s="363">
        <f t="shared" si="85"/>
        <v>146745.30735799999</v>
      </c>
      <c r="H467" s="364">
        <f t="shared" si="86"/>
        <v>-2.2441381038277287E-2</v>
      </c>
      <c r="I467" s="363"/>
    </row>
    <row r="468" spans="2:9" x14ac:dyDescent="0.25">
      <c r="B468" s="620">
        <v>42648</v>
      </c>
      <c r="C468" s="362">
        <v>8178</v>
      </c>
      <c r="D468" s="621">
        <v>15.977725</v>
      </c>
      <c r="E468" s="363">
        <v>16.12</v>
      </c>
      <c r="F468" s="363">
        <f t="shared" si="84"/>
        <v>1163.524950000012</v>
      </c>
      <c r="G468" s="363">
        <f t="shared" si="85"/>
        <v>130665.83504999999</v>
      </c>
      <c r="H468" s="364">
        <f t="shared" si="86"/>
        <v>8.904584351026288E-3</v>
      </c>
      <c r="I468" s="363">
        <v>15.75</v>
      </c>
    </row>
    <row r="469" spans="2:9" x14ac:dyDescent="0.25">
      <c r="B469" s="620">
        <v>42648</v>
      </c>
      <c r="C469" s="383">
        <v>7678</v>
      </c>
      <c r="D469" s="622">
        <v>15.951529000000001</v>
      </c>
      <c r="E469" s="363">
        <v>16.12</v>
      </c>
      <c r="F469" s="363">
        <f t="shared" si="84"/>
        <v>1293.5203380000021</v>
      </c>
      <c r="G469" s="363">
        <f t="shared" si="85"/>
        <v>122475.839662</v>
      </c>
      <c r="H469" s="364">
        <f t="shared" si="86"/>
        <v>1.0561432700275958E-2</v>
      </c>
      <c r="I469" s="363" t="s">
        <v>288</v>
      </c>
    </row>
    <row r="470" spans="2:9" x14ac:dyDescent="0.25">
      <c r="B470" s="620">
        <v>42649</v>
      </c>
      <c r="C470" s="362">
        <v>8678</v>
      </c>
      <c r="D470" s="621">
        <v>15.941579000000001</v>
      </c>
      <c r="E470" s="363">
        <v>16.079999999999998</v>
      </c>
      <c r="F470" s="363">
        <f t="shared" si="84"/>
        <v>1201.2174379999781</v>
      </c>
      <c r="G470" s="363">
        <f t="shared" si="85"/>
        <v>138341.022562</v>
      </c>
      <c r="H470" s="364">
        <f t="shared" si="86"/>
        <v>8.683016908174369E-3</v>
      </c>
      <c r="I470" s="363"/>
    </row>
    <row r="471" spans="2:9" x14ac:dyDescent="0.25">
      <c r="B471" s="620">
        <v>42650</v>
      </c>
      <c r="C471" s="362">
        <v>8978</v>
      </c>
      <c r="D471" s="621">
        <v>15.935176999999999</v>
      </c>
      <c r="E471" s="363">
        <v>15.56</v>
      </c>
      <c r="F471" s="363">
        <f t="shared" si="84"/>
        <v>-3368.3391059999908</v>
      </c>
      <c r="G471" s="363">
        <f t="shared" si="85"/>
        <v>143066.01910599999</v>
      </c>
      <c r="H471" s="364">
        <f t="shared" si="86"/>
        <v>-2.354394933925108E-2</v>
      </c>
      <c r="I471" s="363"/>
    </row>
    <row r="472" spans="2:9" x14ac:dyDescent="0.25">
      <c r="B472" s="620">
        <v>42650</v>
      </c>
      <c r="C472" s="362">
        <v>9278</v>
      </c>
      <c r="D472" s="621">
        <v>15.923692000000001</v>
      </c>
      <c r="E472" s="363">
        <v>15.56</v>
      </c>
      <c r="F472" s="363">
        <f t="shared" si="84"/>
        <v>-3374.3343760000034</v>
      </c>
      <c r="G472" s="363">
        <f t="shared" si="85"/>
        <v>147740.01437600001</v>
      </c>
      <c r="H472" s="364">
        <f t="shared" si="86"/>
        <v>-2.2839678134945106E-2</v>
      </c>
      <c r="I472" s="363">
        <v>15.8</v>
      </c>
    </row>
    <row r="473" spans="2:9" x14ac:dyDescent="0.25">
      <c r="B473" s="620">
        <v>42653</v>
      </c>
      <c r="C473" s="383">
        <v>9678</v>
      </c>
      <c r="D473" s="622">
        <v>15.9153</v>
      </c>
      <c r="E473" s="363">
        <v>15.72</v>
      </c>
      <c r="F473" s="363">
        <f t="shared" si="84"/>
        <v>-1890.1133999999961</v>
      </c>
      <c r="G473" s="363">
        <f t="shared" si="85"/>
        <v>154028.27340000001</v>
      </c>
      <c r="H473" s="364">
        <f t="shared" si="86"/>
        <v>-1.2271210721758281E-2</v>
      </c>
      <c r="I473" s="363"/>
    </row>
    <row r="474" spans="2:9" x14ac:dyDescent="0.25">
      <c r="B474" s="620">
        <v>42661</v>
      </c>
      <c r="C474" s="383">
        <v>10000</v>
      </c>
      <c r="D474" s="622">
        <v>15.901258</v>
      </c>
      <c r="E474" s="363">
        <v>14.2</v>
      </c>
      <c r="F474" s="363">
        <f t="shared" si="84"/>
        <v>-17012.580000000009</v>
      </c>
      <c r="G474" s="363">
        <f t="shared" si="85"/>
        <v>159012.58000000002</v>
      </c>
      <c r="H474" s="364">
        <f t="shared" si="86"/>
        <v>-0.10698889358313669</v>
      </c>
      <c r="I474" s="363"/>
    </row>
    <row r="475" spans="2:9" x14ac:dyDescent="0.25">
      <c r="B475" s="620">
        <v>42663</v>
      </c>
      <c r="C475" s="362">
        <v>10000</v>
      </c>
      <c r="D475" s="621">
        <v>15.901258</v>
      </c>
      <c r="E475" s="363">
        <v>14.7</v>
      </c>
      <c r="F475" s="363">
        <f>C475*(E475-D475)</f>
        <v>-12012.580000000011</v>
      </c>
      <c r="G475" s="363">
        <f>IF(C475=0, 0,D475*C475)</f>
        <v>159012.58000000002</v>
      </c>
      <c r="H475" s="365">
        <f>IF(C475=0, D475, (E475-D475)/D475)</f>
        <v>-7.5544840540289399E-2</v>
      </c>
      <c r="I475" s="363"/>
    </row>
    <row r="476" spans="2:9" x14ac:dyDescent="0.25">
      <c r="B476" s="620">
        <v>42668</v>
      </c>
      <c r="C476" s="362">
        <v>11000</v>
      </c>
      <c r="D476" s="621">
        <v>15.74728</v>
      </c>
      <c r="E476" s="363">
        <v>14.18</v>
      </c>
      <c r="F476" s="363">
        <f>C476*(E476-D476)</f>
        <v>-17240.080000000002</v>
      </c>
      <c r="G476" s="363">
        <f>IF(C476=0, 0,D476*C476)</f>
        <v>173220.08</v>
      </c>
      <c r="H476" s="365">
        <f>IF(C476=0, D476, (E476-D476)/D476)</f>
        <v>-9.9527029429844413E-2</v>
      </c>
      <c r="I476" s="363"/>
    </row>
    <row r="477" spans="2:9" x14ac:dyDescent="0.25">
      <c r="B477" s="620">
        <v>42670</v>
      </c>
      <c r="C477" s="362">
        <v>11500</v>
      </c>
      <c r="D477" s="621">
        <v>15.679137000000001</v>
      </c>
      <c r="E477" s="363">
        <v>13.95</v>
      </c>
      <c r="F477" s="363">
        <f>C477*(E477-D477)</f>
        <v>-19885.075500000017</v>
      </c>
      <c r="G477" s="363">
        <f>IF(C477=0, 0,D477*C477)</f>
        <v>180310.07550000001</v>
      </c>
      <c r="H477" s="365">
        <f>IF(C477=0, D477, (E477-D477)/D477)</f>
        <v>-0.11028266415428357</v>
      </c>
      <c r="I477" s="363"/>
    </row>
    <row r="478" spans="2:9" ht="15" customHeight="1" x14ac:dyDescent="0.25">
      <c r="B478" s="620">
        <v>42670</v>
      </c>
      <c r="C478" s="362">
        <v>12000</v>
      </c>
      <c r="D478" s="621">
        <v>15.6113</v>
      </c>
      <c r="E478" s="363">
        <v>13.95</v>
      </c>
      <c r="F478" s="363">
        <f t="shared" ref="F478:F485" si="87">C478*(E478-D478)</f>
        <v>-19935.600000000009</v>
      </c>
      <c r="G478" s="363">
        <f t="shared" ref="G478:G485" si="88">IF(C478=0, 0,D478*C478)</f>
        <v>187335.6</v>
      </c>
      <c r="H478" s="365">
        <f t="shared" ref="H478:H485" si="89">IF(C478=0, D478, (E478-D478)/D478)</f>
        <v>-0.10641650599245422</v>
      </c>
      <c r="I478" s="363"/>
    </row>
    <row r="479" spans="2:9" x14ac:dyDescent="0.25">
      <c r="B479" s="620">
        <v>42670</v>
      </c>
      <c r="C479" s="362">
        <v>12500</v>
      </c>
      <c r="D479" s="621">
        <v>15.542006000000001</v>
      </c>
      <c r="E479" s="363">
        <v>13.95</v>
      </c>
      <c r="F479" s="363">
        <f t="shared" si="87"/>
        <v>-19900.075000000015</v>
      </c>
      <c r="G479" s="363">
        <f t="shared" si="88"/>
        <v>194275.07500000001</v>
      </c>
      <c r="H479" s="365">
        <f t="shared" si="89"/>
        <v>-0.10243246592492637</v>
      </c>
      <c r="I479" s="363"/>
    </row>
    <row r="480" spans="2:9" x14ac:dyDescent="0.25">
      <c r="B480" s="620">
        <v>42671</v>
      </c>
      <c r="C480" s="362">
        <v>12500</v>
      </c>
      <c r="D480" s="621">
        <v>15.536431</v>
      </c>
      <c r="E480" s="363">
        <v>13.72</v>
      </c>
      <c r="F480" s="363">
        <f t="shared" si="87"/>
        <v>-22705.387499999997</v>
      </c>
      <c r="G480" s="363">
        <f t="shared" si="88"/>
        <v>194205.38750000001</v>
      </c>
      <c r="H480" s="365">
        <f t="shared" si="89"/>
        <v>-0.11691430290521676</v>
      </c>
      <c r="I480" s="363"/>
    </row>
    <row r="481" spans="2:9" x14ac:dyDescent="0.25">
      <c r="B481" s="620">
        <v>42674</v>
      </c>
      <c r="C481" s="362">
        <v>12500</v>
      </c>
      <c r="D481" s="621">
        <v>15.5313</v>
      </c>
      <c r="E481" s="363">
        <v>13.18</v>
      </c>
      <c r="F481" s="363">
        <f t="shared" si="87"/>
        <v>-29391.250000000004</v>
      </c>
      <c r="G481" s="363">
        <f t="shared" si="88"/>
        <v>194141.25</v>
      </c>
      <c r="H481" s="365">
        <f t="shared" si="89"/>
        <v>-0.15139106192012261</v>
      </c>
      <c r="I481" s="363"/>
    </row>
    <row r="482" spans="2:9" x14ac:dyDescent="0.25">
      <c r="B482" s="620">
        <v>42676</v>
      </c>
      <c r="C482" s="362">
        <v>12500</v>
      </c>
      <c r="D482" s="621">
        <v>15.528746</v>
      </c>
      <c r="E482" s="363">
        <v>12.78</v>
      </c>
      <c r="F482" s="363">
        <f t="shared" si="87"/>
        <v>-34359.325000000004</v>
      </c>
      <c r="G482" s="363">
        <f t="shared" si="88"/>
        <v>194109.32500000001</v>
      </c>
      <c r="H482" s="364">
        <f t="shared" si="89"/>
        <v>-0.17701017197396368</v>
      </c>
      <c r="I482" s="363"/>
    </row>
    <row r="483" spans="2:9" x14ac:dyDescent="0.25">
      <c r="B483" s="620">
        <v>42677</v>
      </c>
      <c r="C483" s="362">
        <v>10000</v>
      </c>
      <c r="D483" s="621">
        <v>15.813000000000001</v>
      </c>
      <c r="E483" s="363">
        <v>14.15</v>
      </c>
      <c r="F483" s="363">
        <f t="shared" si="87"/>
        <v>-16630.000000000004</v>
      </c>
      <c r="G483" s="363">
        <f t="shared" si="88"/>
        <v>158130</v>
      </c>
      <c r="H483" s="364">
        <f t="shared" si="89"/>
        <v>-0.10516663504711314</v>
      </c>
      <c r="I483" s="363"/>
    </row>
    <row r="484" spans="2:9" x14ac:dyDescent="0.25">
      <c r="B484" s="620">
        <v>42678</v>
      </c>
      <c r="C484" s="362">
        <v>11000</v>
      </c>
      <c r="D484" s="621">
        <v>15.62</v>
      </c>
      <c r="E484" s="363">
        <v>13.69</v>
      </c>
      <c r="F484" s="363">
        <f t="shared" si="87"/>
        <v>-21229.999999999996</v>
      </c>
      <c r="G484" s="363">
        <f t="shared" si="88"/>
        <v>171820</v>
      </c>
      <c r="H484" s="364">
        <f t="shared" si="89"/>
        <v>-0.12355953905249678</v>
      </c>
      <c r="I484" s="363"/>
    </row>
    <row r="485" spans="2:9" x14ac:dyDescent="0.25">
      <c r="B485" s="620">
        <v>42701</v>
      </c>
      <c r="C485" s="362">
        <v>7678</v>
      </c>
      <c r="D485" s="621">
        <v>15.484220000000001</v>
      </c>
      <c r="E485" s="363">
        <v>16.28</v>
      </c>
      <c r="F485" s="363">
        <f t="shared" si="87"/>
        <v>6109.9988400000047</v>
      </c>
      <c r="G485" s="363">
        <f t="shared" si="88"/>
        <v>118887.84116000001</v>
      </c>
      <c r="H485" s="364">
        <f t="shared" si="89"/>
        <v>5.1392966516879801E-2</v>
      </c>
      <c r="I485" s="363" t="s">
        <v>299</v>
      </c>
    </row>
    <row r="486" spans="2:9" x14ac:dyDescent="0.25">
      <c r="B486" s="620">
        <v>42702</v>
      </c>
      <c r="C486" s="362">
        <v>8178</v>
      </c>
      <c r="D486" s="621">
        <v>15.519399999999999</v>
      </c>
      <c r="E486" s="363">
        <v>15.62</v>
      </c>
      <c r="F486" s="363">
        <f t="shared" ref="F486:F503" si="90">C486*(E486-D486)</f>
        <v>822.70680000000016</v>
      </c>
      <c r="G486" s="363">
        <f t="shared" ref="G486:G503" si="91">IF(C486=0, 0,D486*C486)</f>
        <v>126917.6532</v>
      </c>
      <c r="H486" s="364">
        <f t="shared" ref="H486:H503" si="92">IF(C486=0, D486, (E486-D486)/D486)</f>
        <v>6.4822093637640649E-3</v>
      </c>
      <c r="I486" s="363" t="s">
        <v>304</v>
      </c>
    </row>
    <row r="487" spans="2:9" ht="15" customHeight="1" x14ac:dyDescent="0.25">
      <c r="B487" s="620">
        <v>42702</v>
      </c>
      <c r="C487" s="362">
        <v>8678</v>
      </c>
      <c r="D487" s="621">
        <v>15.5304</v>
      </c>
      <c r="E487" s="363">
        <v>15.54</v>
      </c>
      <c r="F487" s="363">
        <f t="shared" si="90"/>
        <v>83.308799999990825</v>
      </c>
      <c r="G487" s="363">
        <f t="shared" si="91"/>
        <v>134772.8112</v>
      </c>
      <c r="H487" s="364">
        <f t="shared" si="92"/>
        <v>6.1814248184199655E-4</v>
      </c>
      <c r="I487" s="363"/>
    </row>
    <row r="488" spans="2:9" x14ac:dyDescent="0.25">
      <c r="B488" s="620">
        <v>42703</v>
      </c>
      <c r="C488" s="362">
        <v>8978</v>
      </c>
      <c r="D488" s="621">
        <v>15.5053</v>
      </c>
      <c r="E488" s="363">
        <v>14.95</v>
      </c>
      <c r="F488" s="363">
        <f t="shared" si="90"/>
        <v>-4985.4834000000074</v>
      </c>
      <c r="G488" s="363">
        <f t="shared" si="91"/>
        <v>139206.5834</v>
      </c>
      <c r="H488" s="364">
        <f t="shared" si="92"/>
        <v>-3.5813560524465882E-2</v>
      </c>
      <c r="I488" s="363"/>
    </row>
    <row r="489" spans="2:9" x14ac:dyDescent="0.25">
      <c r="B489" s="620">
        <v>42704</v>
      </c>
      <c r="C489" s="362">
        <v>5178</v>
      </c>
      <c r="D489" s="621">
        <v>14.3947</v>
      </c>
      <c r="E489" s="363">
        <v>18.059999999999999</v>
      </c>
      <c r="F489" s="363">
        <f t="shared" si="90"/>
        <v>18978.923399999992</v>
      </c>
      <c r="G489" s="363">
        <f t="shared" si="91"/>
        <v>74535.756600000008</v>
      </c>
      <c r="H489" s="364">
        <f t="shared" si="92"/>
        <v>0.25462843963403187</v>
      </c>
      <c r="I489" s="363"/>
    </row>
    <row r="490" spans="2:9" x14ac:dyDescent="0.25">
      <c r="B490" s="620">
        <v>42705</v>
      </c>
      <c r="C490" s="362">
        <v>4678</v>
      </c>
      <c r="D490" s="621">
        <v>13.905799999999999</v>
      </c>
      <c r="E490" s="363">
        <v>17.89</v>
      </c>
      <c r="F490" s="363">
        <f t="shared" si="90"/>
        <v>18638.087600000006</v>
      </c>
      <c r="G490" s="363">
        <f t="shared" si="91"/>
        <v>65051.332399999999</v>
      </c>
      <c r="H490" s="364">
        <f t="shared" si="92"/>
        <v>0.28651354111234173</v>
      </c>
      <c r="I490" s="363"/>
    </row>
    <row r="491" spans="2:9" x14ac:dyDescent="0.25">
      <c r="B491" s="620">
        <v>42705</v>
      </c>
      <c r="C491" s="362">
        <v>5000</v>
      </c>
      <c r="D491" s="621">
        <v>14.1645</v>
      </c>
      <c r="E491" s="363">
        <v>17.89</v>
      </c>
      <c r="F491" s="363">
        <f t="shared" si="90"/>
        <v>18627.5</v>
      </c>
      <c r="G491" s="363">
        <f t="shared" si="91"/>
        <v>70822.5</v>
      </c>
      <c r="H491" s="364">
        <f t="shared" si="92"/>
        <v>0.2630166966712556</v>
      </c>
      <c r="I491" s="363"/>
    </row>
    <row r="492" spans="2:9" x14ac:dyDescent="0.25">
      <c r="B492" s="620">
        <v>42708</v>
      </c>
      <c r="C492" s="362">
        <v>5000</v>
      </c>
      <c r="D492" s="621">
        <v>14.1645</v>
      </c>
      <c r="E492" s="363">
        <v>18.2</v>
      </c>
      <c r="F492" s="363">
        <f t="shared" si="90"/>
        <v>20177.499999999996</v>
      </c>
      <c r="G492" s="363">
        <f t="shared" si="91"/>
        <v>70822.5</v>
      </c>
      <c r="H492" s="364">
        <f t="shared" si="92"/>
        <v>0.28490239683716323</v>
      </c>
      <c r="I492" s="363"/>
    </row>
    <row r="493" spans="2:9" x14ac:dyDescent="0.25">
      <c r="B493" s="620">
        <v>42711</v>
      </c>
      <c r="C493" s="362">
        <v>5000</v>
      </c>
      <c r="D493" s="621">
        <v>14.143514</v>
      </c>
      <c r="E493" s="363">
        <v>18.420000000000002</v>
      </c>
      <c r="F493" s="363">
        <f t="shared" si="90"/>
        <v>21382.430000000011</v>
      </c>
      <c r="G493" s="363">
        <f t="shared" si="91"/>
        <v>70717.569999999992</v>
      </c>
      <c r="H493" s="364">
        <f t="shared" si="92"/>
        <v>0.3023637548631834</v>
      </c>
      <c r="I493" s="363"/>
    </row>
    <row r="494" spans="2:9" x14ac:dyDescent="0.25">
      <c r="B494" s="620">
        <v>42713</v>
      </c>
      <c r="C494" s="362">
        <v>5000</v>
      </c>
      <c r="D494" s="621">
        <v>14.127554</v>
      </c>
      <c r="E494" s="363">
        <v>18.25</v>
      </c>
      <c r="F494" s="363">
        <f t="shared" si="90"/>
        <v>20612.23</v>
      </c>
      <c r="G494" s="363">
        <f t="shared" si="91"/>
        <v>70637.77</v>
      </c>
      <c r="H494" s="364">
        <f t="shared" si="92"/>
        <v>0.29180182216964096</v>
      </c>
      <c r="I494" s="363"/>
    </row>
    <row r="495" spans="2:9" x14ac:dyDescent="0.25">
      <c r="B495" s="620">
        <v>42716</v>
      </c>
      <c r="C495" s="362">
        <v>5000</v>
      </c>
      <c r="D495" s="621">
        <v>14.0276</v>
      </c>
      <c r="E495" s="363">
        <v>18.489999999999998</v>
      </c>
      <c r="F495" s="363">
        <f t="shared" si="90"/>
        <v>22311.999999999993</v>
      </c>
      <c r="G495" s="363">
        <f t="shared" si="91"/>
        <v>70138</v>
      </c>
      <c r="H495" s="364">
        <f t="shared" si="92"/>
        <v>0.3181157147338104</v>
      </c>
      <c r="I495" s="363" t="s">
        <v>185</v>
      </c>
    </row>
    <row r="496" spans="2:9" x14ac:dyDescent="0.25">
      <c r="B496" s="620">
        <v>42718</v>
      </c>
      <c r="C496" s="362">
        <v>5000</v>
      </c>
      <c r="D496" s="621">
        <v>14.025399999999999</v>
      </c>
      <c r="E496" s="363">
        <v>18.2</v>
      </c>
      <c r="F496" s="363">
        <f t="shared" si="90"/>
        <v>20873</v>
      </c>
      <c r="G496" s="363">
        <f t="shared" si="91"/>
        <v>70127</v>
      </c>
      <c r="H496" s="364">
        <f t="shared" si="92"/>
        <v>0.29764569994438661</v>
      </c>
      <c r="I496" s="363">
        <v>13.8</v>
      </c>
    </row>
    <row r="497" spans="1:10" x14ac:dyDescent="0.25">
      <c r="B497" s="620">
        <v>42726</v>
      </c>
      <c r="C497" s="362">
        <v>5000</v>
      </c>
      <c r="D497" s="621">
        <v>14.025399999999999</v>
      </c>
      <c r="E497" s="363">
        <v>18.04</v>
      </c>
      <c r="F497" s="363">
        <f t="shared" si="90"/>
        <v>20073</v>
      </c>
      <c r="G497" s="363">
        <f t="shared" si="91"/>
        <v>70127</v>
      </c>
      <c r="H497" s="364">
        <f t="shared" si="92"/>
        <v>0.28623782565916123</v>
      </c>
      <c r="I497" s="363"/>
    </row>
    <row r="498" spans="1:10" x14ac:dyDescent="0.25">
      <c r="B498" s="620">
        <v>42733</v>
      </c>
      <c r="C498" s="362">
        <v>6000</v>
      </c>
      <c r="D498" s="621">
        <v>14.627558000000001</v>
      </c>
      <c r="E498" s="363">
        <v>17.57</v>
      </c>
      <c r="F498" s="443">
        <f t="shared" si="90"/>
        <v>17654.651999999998</v>
      </c>
      <c r="G498" s="363">
        <f t="shared" si="91"/>
        <v>87765.347999999998</v>
      </c>
      <c r="H498" s="365">
        <f t="shared" si="92"/>
        <v>0.20115743174629694</v>
      </c>
      <c r="I498" s="363"/>
      <c r="J498" s="3"/>
    </row>
    <row r="499" spans="1:10" x14ac:dyDescent="0.25">
      <c r="B499" s="620">
        <v>42734</v>
      </c>
      <c r="C499" s="362">
        <v>6000</v>
      </c>
      <c r="D499" s="621">
        <v>14.562623</v>
      </c>
      <c r="E499" s="363">
        <v>17.309999999999999</v>
      </c>
      <c r="F499" s="443">
        <f t="shared" si="90"/>
        <v>16484.261999999992</v>
      </c>
      <c r="G499" s="363">
        <f t="shared" si="91"/>
        <v>87375.737999999998</v>
      </c>
      <c r="H499" s="365">
        <f t="shared" si="92"/>
        <v>0.18865948806063293</v>
      </c>
      <c r="I499" s="363"/>
    </row>
    <row r="500" spans="1:10" x14ac:dyDescent="0.25">
      <c r="B500" s="620">
        <v>42739</v>
      </c>
      <c r="C500" s="362">
        <v>5500</v>
      </c>
      <c r="D500" s="621">
        <v>14.242898</v>
      </c>
      <c r="E500" s="363">
        <v>18.05</v>
      </c>
      <c r="F500" s="443">
        <f t="shared" si="90"/>
        <v>20939.061000000002</v>
      </c>
      <c r="G500" s="363">
        <f t="shared" si="91"/>
        <v>78335.938999999998</v>
      </c>
      <c r="H500" s="365">
        <f t="shared" si="92"/>
        <v>0.26729827033796072</v>
      </c>
      <c r="I500" s="363"/>
    </row>
    <row r="501" spans="1:10" x14ac:dyDescent="0.25">
      <c r="B501" s="620">
        <v>42741</v>
      </c>
      <c r="C501" s="362">
        <v>6000</v>
      </c>
      <c r="D501" s="621">
        <v>14.54599</v>
      </c>
      <c r="E501" s="363">
        <v>17.98</v>
      </c>
      <c r="F501" s="443">
        <f t="shared" si="90"/>
        <v>20604.060000000005</v>
      </c>
      <c r="G501" s="363">
        <f t="shared" si="91"/>
        <v>87275.94</v>
      </c>
      <c r="H501" s="365">
        <f t="shared" si="92"/>
        <v>0.23607949682352322</v>
      </c>
      <c r="I501" s="363"/>
    </row>
    <row r="502" spans="1:10" x14ac:dyDescent="0.25">
      <c r="B502" s="620">
        <v>42748</v>
      </c>
      <c r="C502" s="362">
        <v>6000</v>
      </c>
      <c r="D502" s="621">
        <v>14.527687999999999</v>
      </c>
      <c r="E502" s="363">
        <v>17.46</v>
      </c>
      <c r="F502" s="443">
        <f t="shared" si="90"/>
        <v>17593.872000000007</v>
      </c>
      <c r="G502" s="363">
        <f t="shared" si="91"/>
        <v>87166.127999999997</v>
      </c>
      <c r="H502" s="365">
        <f t="shared" si="92"/>
        <v>0.20184299112150547</v>
      </c>
      <c r="I502" s="363"/>
    </row>
    <row r="503" spans="1:10" x14ac:dyDescent="0.25">
      <c r="A503" s="226" t="s">
        <v>327</v>
      </c>
      <c r="B503" s="620">
        <v>42754</v>
      </c>
      <c r="C503" s="362">
        <v>6000</v>
      </c>
      <c r="D503" s="621">
        <v>14.527687999999999</v>
      </c>
      <c r="E503" s="363">
        <v>17.27</v>
      </c>
      <c r="F503" s="443">
        <f t="shared" si="90"/>
        <v>16453.871999999999</v>
      </c>
      <c r="G503" s="363">
        <f t="shared" si="91"/>
        <v>87166.127999999997</v>
      </c>
      <c r="H503" s="365">
        <f t="shared" si="92"/>
        <v>0.1887645164185795</v>
      </c>
      <c r="I503" s="363"/>
    </row>
    <row r="504" spans="1:10" x14ac:dyDescent="0.25">
      <c r="A504" t="s">
        <v>327</v>
      </c>
      <c r="B504" s="620">
        <v>42760</v>
      </c>
      <c r="C504" s="362">
        <v>6000</v>
      </c>
      <c r="D504" s="621">
        <v>14.527687999999999</v>
      </c>
      <c r="E504" s="363">
        <v>17.75</v>
      </c>
      <c r="F504" s="443">
        <f t="shared" ref="F504:F518" si="93">C504*(E504-D504)</f>
        <v>19333.872000000003</v>
      </c>
      <c r="G504" s="363">
        <f t="shared" ref="G504:G518" si="94">IF(C504=0, 0,D504*C504)</f>
        <v>87166.127999999997</v>
      </c>
      <c r="H504" s="365">
        <f t="shared" ref="H504:H518" si="95">IF(C504=0, D504, (E504-D504)/D504)</f>
        <v>0.22180487356281334</v>
      </c>
      <c r="I504" s="363"/>
    </row>
    <row r="505" spans="1:10" x14ac:dyDescent="0.25">
      <c r="A505" t="s">
        <v>359</v>
      </c>
      <c r="B505" s="620">
        <v>42761</v>
      </c>
      <c r="C505" s="362">
        <v>6000</v>
      </c>
      <c r="D505" s="621">
        <v>14.50817</v>
      </c>
      <c r="E505" s="363">
        <v>17.75</v>
      </c>
      <c r="F505" s="443">
        <f t="shared" si="93"/>
        <v>19450.98</v>
      </c>
      <c r="G505" s="363">
        <f t="shared" si="94"/>
        <v>87049.02</v>
      </c>
      <c r="H505" s="365">
        <f t="shared" si="95"/>
        <v>0.22344858104088938</v>
      </c>
      <c r="I505" s="363"/>
    </row>
    <row r="506" spans="1:10" x14ac:dyDescent="0.25">
      <c r="A506" t="s">
        <v>362</v>
      </c>
      <c r="B506" s="620">
        <v>42762</v>
      </c>
      <c r="C506" s="362">
        <v>6100</v>
      </c>
      <c r="D506" s="621">
        <v>14.553610000000001</v>
      </c>
      <c r="E506" s="363">
        <v>17.41</v>
      </c>
      <c r="F506" s="443">
        <f t="shared" si="93"/>
        <v>17423.978999999996</v>
      </c>
      <c r="G506" s="363">
        <f t="shared" si="94"/>
        <v>88777.021000000008</v>
      </c>
      <c r="H506" s="365">
        <f t="shared" si="95"/>
        <v>0.19626676817641803</v>
      </c>
      <c r="I506" s="363"/>
    </row>
    <row r="507" spans="1:10" x14ac:dyDescent="0.25">
      <c r="A507" t="s">
        <v>372</v>
      </c>
      <c r="B507" s="620">
        <v>42765</v>
      </c>
      <c r="C507" s="362">
        <v>6900</v>
      </c>
      <c r="D507" s="621">
        <v>14.793915999999999</v>
      </c>
      <c r="E507" s="363">
        <v>16.53</v>
      </c>
      <c r="F507" s="443">
        <f t="shared" si="93"/>
        <v>11978.979600000011</v>
      </c>
      <c r="G507" s="363">
        <f t="shared" si="94"/>
        <v>102078.02039999999</v>
      </c>
      <c r="H507" s="365">
        <f t="shared" si="95"/>
        <v>0.11735121383682331</v>
      </c>
      <c r="I507" s="363"/>
    </row>
    <row r="508" spans="1:10" x14ac:dyDescent="0.25">
      <c r="A508" t="s">
        <v>373</v>
      </c>
      <c r="B508" s="620">
        <v>42766</v>
      </c>
      <c r="C508" s="362">
        <v>6900</v>
      </c>
      <c r="D508" s="621">
        <v>14.783497000000001</v>
      </c>
      <c r="E508" s="363">
        <v>16.75</v>
      </c>
      <c r="F508" s="443">
        <f t="shared" si="93"/>
        <v>13568.870699999996</v>
      </c>
      <c r="G508" s="363">
        <f t="shared" si="94"/>
        <v>102006.1293</v>
      </c>
      <c r="H508" s="365">
        <f t="shared" si="95"/>
        <v>0.13302015078029233</v>
      </c>
      <c r="I508" s="363"/>
    </row>
    <row r="509" spans="1:10" x14ac:dyDescent="0.25">
      <c r="B509" s="620">
        <v>42767</v>
      </c>
      <c r="C509" s="362">
        <v>6000</v>
      </c>
      <c r="D509" s="621">
        <v>14.442175000000001</v>
      </c>
      <c r="E509" s="363">
        <v>16.59</v>
      </c>
      <c r="F509" s="443">
        <f t="shared" si="93"/>
        <v>12886.949999999995</v>
      </c>
      <c r="G509" s="363">
        <f t="shared" si="94"/>
        <v>86653.05</v>
      </c>
      <c r="H509" s="365">
        <f t="shared" si="95"/>
        <v>0.14871894295699914</v>
      </c>
      <c r="I509" s="363"/>
    </row>
    <row r="510" spans="1:10" x14ac:dyDescent="0.25">
      <c r="B510" s="620">
        <v>42767</v>
      </c>
      <c r="C510" s="362">
        <v>7000</v>
      </c>
      <c r="D510" s="621">
        <v>14.725436</v>
      </c>
      <c r="E510" s="363">
        <v>16.59</v>
      </c>
      <c r="F510" s="443">
        <f t="shared" si="93"/>
        <v>13051.947999999999</v>
      </c>
      <c r="G510" s="363">
        <f t="shared" si="94"/>
        <v>103078.052</v>
      </c>
      <c r="H510" s="365">
        <f t="shared" si="95"/>
        <v>0.1266219893251378</v>
      </c>
      <c r="I510" s="363"/>
    </row>
    <row r="511" spans="1:10" x14ac:dyDescent="0.25">
      <c r="B511" s="620">
        <v>42767</v>
      </c>
      <c r="C511" s="362">
        <v>7200</v>
      </c>
      <c r="D511" s="621">
        <v>14.771951</v>
      </c>
      <c r="E511" s="363">
        <v>16.59</v>
      </c>
      <c r="F511" s="443">
        <f t="shared" si="93"/>
        <v>13089.952800000001</v>
      </c>
      <c r="G511" s="363">
        <f t="shared" si="94"/>
        <v>106358.0472</v>
      </c>
      <c r="H511" s="365">
        <f t="shared" si="95"/>
        <v>0.12307439958337259</v>
      </c>
      <c r="I511" s="363"/>
    </row>
    <row r="512" spans="1:10" ht="15" customHeight="1" x14ac:dyDescent="0.25">
      <c r="A512" t="s">
        <v>377</v>
      </c>
      <c r="B512" s="620">
        <v>42767</v>
      </c>
      <c r="C512" s="362">
        <v>6500</v>
      </c>
      <c r="D512" s="621">
        <v>14.578353999999999</v>
      </c>
      <c r="E512" s="363">
        <v>16.59</v>
      </c>
      <c r="F512" s="443">
        <f t="shared" si="93"/>
        <v>13075.699000000004</v>
      </c>
      <c r="G512" s="363">
        <f t="shared" si="94"/>
        <v>94759.300999999992</v>
      </c>
      <c r="H512" s="365">
        <f t="shared" si="95"/>
        <v>0.13798855481215511</v>
      </c>
      <c r="I512" s="363"/>
    </row>
    <row r="513" spans="1:13" x14ac:dyDescent="0.25">
      <c r="A513" t="s">
        <v>379</v>
      </c>
      <c r="B513" s="620">
        <v>42768</v>
      </c>
      <c r="C513" s="362">
        <v>6000</v>
      </c>
      <c r="D513" s="621">
        <v>14.368788</v>
      </c>
      <c r="E513" s="363">
        <v>16.68</v>
      </c>
      <c r="F513" s="443">
        <f t="shared" si="93"/>
        <v>13867.271999999995</v>
      </c>
      <c r="G513" s="363">
        <f>IF(C513=0, 0,D513*C513)</f>
        <v>86212.728000000003</v>
      </c>
      <c r="H513" s="365">
        <f t="shared" si="95"/>
        <v>0.16084947456946261</v>
      </c>
      <c r="I513" s="363"/>
    </row>
    <row r="514" spans="1:13" x14ac:dyDescent="0.25">
      <c r="A514" t="s">
        <v>386</v>
      </c>
      <c r="B514" s="620">
        <v>42769</v>
      </c>
      <c r="C514" s="362">
        <v>5300</v>
      </c>
      <c r="D514" s="621">
        <v>14.006677</v>
      </c>
      <c r="E514" s="363">
        <v>17.23</v>
      </c>
      <c r="F514" s="443">
        <f t="shared" si="93"/>
        <v>17083.611900000004</v>
      </c>
      <c r="G514" s="363">
        <f t="shared" si="94"/>
        <v>74235.388099999996</v>
      </c>
      <c r="H514" s="365">
        <f t="shared" si="95"/>
        <v>0.2301276027140485</v>
      </c>
      <c r="I514" s="363"/>
    </row>
    <row r="515" spans="1:13" x14ac:dyDescent="0.25">
      <c r="A515" t="s">
        <v>396</v>
      </c>
      <c r="B515" s="620">
        <v>42772</v>
      </c>
      <c r="C515" s="362">
        <v>6000</v>
      </c>
      <c r="D515" s="621">
        <v>14.311230999999999</v>
      </c>
      <c r="E515" s="363">
        <v>16.52</v>
      </c>
      <c r="F515" s="443">
        <f t="shared" si="93"/>
        <v>13252.614000000001</v>
      </c>
      <c r="G515" s="363">
        <f t="shared" si="94"/>
        <v>85867.385999999999</v>
      </c>
      <c r="H515" s="365">
        <f t="shared" si="95"/>
        <v>0.15433815581622576</v>
      </c>
      <c r="I515" s="363"/>
    </row>
    <row r="516" spans="1:13" x14ac:dyDescent="0.25">
      <c r="A516" t="s">
        <v>401</v>
      </c>
      <c r="B516" s="620">
        <v>42773</v>
      </c>
      <c r="C516" s="362">
        <v>6600</v>
      </c>
      <c r="D516" s="621">
        <v>14.461574000000001</v>
      </c>
      <c r="E516" s="363">
        <v>16.03</v>
      </c>
      <c r="F516" s="443">
        <f t="shared" si="93"/>
        <v>10351.611600000004</v>
      </c>
      <c r="G516" s="363">
        <f t="shared" si="94"/>
        <v>95446.388400000011</v>
      </c>
      <c r="H516" s="365">
        <f t="shared" si="95"/>
        <v>0.10845472283998965</v>
      </c>
      <c r="I516" s="363"/>
    </row>
    <row r="517" spans="1:13" x14ac:dyDescent="0.25">
      <c r="A517" t="s">
        <v>424</v>
      </c>
      <c r="B517" s="620">
        <v>42781</v>
      </c>
      <c r="C517" s="362">
        <v>5700</v>
      </c>
      <c r="D517" s="621">
        <v>14.140828000000001</v>
      </c>
      <c r="E517" s="363">
        <v>16.3</v>
      </c>
      <c r="F517" s="443">
        <f t="shared" si="93"/>
        <v>12307.2804</v>
      </c>
      <c r="G517" s="363">
        <f t="shared" si="94"/>
        <v>80602.719600000011</v>
      </c>
      <c r="H517" s="365">
        <f t="shared" si="95"/>
        <v>0.1526906345229572</v>
      </c>
      <c r="I517" s="363"/>
    </row>
    <row r="518" spans="1:13" x14ac:dyDescent="0.25">
      <c r="A518" t="s">
        <v>426</v>
      </c>
      <c r="B518" s="620">
        <v>42782</v>
      </c>
      <c r="C518" s="362">
        <v>5700</v>
      </c>
      <c r="D518" s="621">
        <v>14.103</v>
      </c>
      <c r="E518" s="363">
        <v>16.170000000000002</v>
      </c>
      <c r="F518" s="443">
        <f t="shared" si="93"/>
        <v>11781.900000000011</v>
      </c>
      <c r="G518" s="363">
        <f t="shared" si="94"/>
        <v>80387.100000000006</v>
      </c>
      <c r="H518" s="365">
        <f t="shared" si="95"/>
        <v>0.14656456073175933</v>
      </c>
      <c r="I518" s="363"/>
    </row>
    <row r="519" spans="1:13" x14ac:dyDescent="0.25">
      <c r="B519" s="620"/>
      <c r="C519" s="362"/>
      <c r="D519" s="621"/>
      <c r="E519" s="363"/>
      <c r="F519" s="443"/>
      <c r="G519" s="363"/>
      <c r="H519" s="365"/>
      <c r="I519" s="363"/>
    </row>
    <row r="520" spans="1:13" x14ac:dyDescent="0.25">
      <c r="B520" s="620"/>
      <c r="C520" s="362"/>
      <c r="D520" s="621"/>
      <c r="E520" s="363"/>
      <c r="F520" s="443"/>
      <c r="G520" s="363"/>
      <c r="H520" s="365"/>
      <c r="I520" s="363"/>
    </row>
    <row r="521" spans="1:13" x14ac:dyDescent="0.25">
      <c r="B521" s="620"/>
      <c r="C521" s="362"/>
      <c r="D521" s="621"/>
      <c r="E521" s="363"/>
      <c r="F521" s="443"/>
      <c r="G521" s="363"/>
      <c r="H521" s="365"/>
      <c r="I521" s="363"/>
    </row>
    <row r="522" spans="1:13" x14ac:dyDescent="0.25">
      <c r="B522" s="620"/>
      <c r="C522" s="362"/>
      <c r="D522" s="621"/>
      <c r="E522" s="363"/>
      <c r="F522" s="443"/>
      <c r="G522" s="363"/>
      <c r="H522" s="365"/>
      <c r="I522" s="363"/>
    </row>
    <row r="526" spans="1:13" x14ac:dyDescent="0.25">
      <c r="L526" t="s">
        <v>65</v>
      </c>
      <c r="M526" s="227">
        <f>K789+M789-F789</f>
        <v>14615.571000001626</v>
      </c>
    </row>
    <row r="527" spans="1:13" x14ac:dyDescent="0.25">
      <c r="A527" s="510" t="s">
        <v>1</v>
      </c>
      <c r="B527" s="587" t="s">
        <v>2</v>
      </c>
      <c r="C527" s="510" t="s">
        <v>4</v>
      </c>
      <c r="D527" s="588" t="s">
        <v>5</v>
      </c>
      <c r="E527" s="511" t="s">
        <v>90</v>
      </c>
      <c r="F527" s="511" t="s">
        <v>60</v>
      </c>
      <c r="G527" s="510" t="s">
        <v>3</v>
      </c>
      <c r="H527" s="589" t="s">
        <v>6</v>
      </c>
      <c r="I527" s="588" t="s">
        <v>7</v>
      </c>
      <c r="J527" s="511" t="s">
        <v>89</v>
      </c>
      <c r="K527" s="511" t="s">
        <v>61</v>
      </c>
      <c r="L527" s="510" t="s">
        <v>37</v>
      </c>
      <c r="M527" s="511" t="s">
        <v>38</v>
      </c>
    </row>
    <row r="528" spans="1:13" x14ac:dyDescent="0.25">
      <c r="A528" s="512" t="s">
        <v>50</v>
      </c>
      <c r="B528" s="545">
        <v>42187</v>
      </c>
      <c r="C528" s="497">
        <v>1000</v>
      </c>
      <c r="D528" s="498">
        <v>27.25</v>
      </c>
      <c r="E528" s="499">
        <v>0</v>
      </c>
      <c r="F528" s="499">
        <f>C528*D528+E528</f>
        <v>27250</v>
      </c>
      <c r="G528" s="496">
        <v>42187</v>
      </c>
      <c r="H528" s="513">
        <v>2000</v>
      </c>
      <c r="I528" s="498">
        <v>27.34</v>
      </c>
      <c r="J528" s="499">
        <v>-5.49</v>
      </c>
      <c r="K528" s="499">
        <f>H528*I528-J528</f>
        <v>54685.49</v>
      </c>
      <c r="L528" s="496">
        <v>42257</v>
      </c>
      <c r="M528" s="499">
        <v>850.5</v>
      </c>
    </row>
    <row r="529" spans="1:13" x14ac:dyDescent="0.25">
      <c r="A529" s="514" t="s">
        <v>71</v>
      </c>
      <c r="B529" s="545">
        <v>42187</v>
      </c>
      <c r="C529" s="497">
        <v>80</v>
      </c>
      <c r="D529" s="498">
        <v>27.152249999999999</v>
      </c>
      <c r="E529" s="499">
        <v>0</v>
      </c>
      <c r="F529" s="499">
        <f t="shared" ref="F529:F592" si="96">C529*D529+E529</f>
        <v>2172.1799999999998</v>
      </c>
      <c r="G529" s="496">
        <v>42199</v>
      </c>
      <c r="H529" s="513">
        <v>102</v>
      </c>
      <c r="I529" s="498">
        <v>25.28</v>
      </c>
      <c r="J529" s="499">
        <v>0.05</v>
      </c>
      <c r="K529" s="499">
        <f t="shared" ref="K529:K556" si="97">H529*I529-J529</f>
        <v>2578.5099999999998</v>
      </c>
      <c r="L529" s="496">
        <v>42439</v>
      </c>
      <c r="M529" s="499">
        <v>483.9</v>
      </c>
    </row>
    <row r="530" spans="1:13" x14ac:dyDescent="0.25">
      <c r="A530" s="497"/>
      <c r="B530" s="545">
        <v>42187</v>
      </c>
      <c r="C530" s="497">
        <v>1000</v>
      </c>
      <c r="D530" s="498">
        <v>27.1</v>
      </c>
      <c r="E530" s="499">
        <v>0</v>
      </c>
      <c r="F530" s="499">
        <f t="shared" si="96"/>
        <v>27100</v>
      </c>
      <c r="G530" s="496">
        <v>42227</v>
      </c>
      <c r="H530" s="513">
        <v>200</v>
      </c>
      <c r="I530" s="498">
        <v>19.649999999999999</v>
      </c>
      <c r="J530" s="499">
        <v>7.0000000000000007E-2</v>
      </c>
      <c r="K530" s="499">
        <f t="shared" si="97"/>
        <v>3929.9299999999994</v>
      </c>
      <c r="L530" s="496">
        <v>42531</v>
      </c>
      <c r="M530" s="499">
        <v>483.9</v>
      </c>
    </row>
    <row r="531" spans="1:13" x14ac:dyDescent="0.25">
      <c r="A531" s="497"/>
      <c r="B531" s="608">
        <v>42187</v>
      </c>
      <c r="C531" s="497">
        <v>500</v>
      </c>
      <c r="D531" s="498">
        <v>27.039332999999999</v>
      </c>
      <c r="E531" s="499">
        <v>0</v>
      </c>
      <c r="F531" s="499">
        <f t="shared" si="96"/>
        <v>13519.666499999999</v>
      </c>
      <c r="G531" s="496">
        <v>42227</v>
      </c>
      <c r="H531" s="513">
        <v>200</v>
      </c>
      <c r="I531" s="498">
        <v>18.7</v>
      </c>
      <c r="J531" s="499">
        <v>7.0000000000000007E-2</v>
      </c>
      <c r="K531" s="499">
        <f t="shared" si="97"/>
        <v>3739.93</v>
      </c>
      <c r="L531" s="496">
        <v>42625</v>
      </c>
      <c r="M531" s="499">
        <v>433.9</v>
      </c>
    </row>
    <row r="532" spans="1:13" x14ac:dyDescent="0.25">
      <c r="A532" s="497"/>
      <c r="B532" s="608"/>
      <c r="C532" s="497">
        <v>500</v>
      </c>
      <c r="D532" s="498">
        <v>27.039332999999999</v>
      </c>
      <c r="E532" s="499">
        <v>0</v>
      </c>
      <c r="F532" s="499">
        <f t="shared" si="96"/>
        <v>13519.666499999999</v>
      </c>
      <c r="G532" s="496">
        <v>42257</v>
      </c>
      <c r="H532" s="513">
        <v>1600</v>
      </c>
      <c r="I532" s="498">
        <v>16.445</v>
      </c>
      <c r="J532" s="499">
        <v>0.48</v>
      </c>
      <c r="K532" s="499">
        <f t="shared" si="97"/>
        <v>26311.52</v>
      </c>
      <c r="L532" s="496">
        <v>42716</v>
      </c>
      <c r="M532" s="499">
        <v>500</v>
      </c>
    </row>
    <row r="533" spans="1:13" x14ac:dyDescent="0.25">
      <c r="A533" s="497"/>
      <c r="B533" s="608"/>
      <c r="C533" s="497">
        <v>500</v>
      </c>
      <c r="D533" s="498">
        <v>27.039332999999999</v>
      </c>
      <c r="E533" s="499">
        <v>0</v>
      </c>
      <c r="F533" s="499">
        <f t="shared" si="96"/>
        <v>13519.666499999999</v>
      </c>
      <c r="G533" s="609">
        <v>42265</v>
      </c>
      <c r="H533" s="513">
        <v>200</v>
      </c>
      <c r="I533" s="498">
        <v>15.65</v>
      </c>
      <c r="J533" s="499">
        <v>0.05</v>
      </c>
      <c r="K533" s="499">
        <f t="shared" si="97"/>
        <v>3129.95</v>
      </c>
      <c r="L533" s="497"/>
      <c r="M533" s="499"/>
    </row>
    <row r="534" spans="1:13" x14ac:dyDescent="0.25">
      <c r="A534" s="497"/>
      <c r="B534" s="608"/>
      <c r="C534" s="497">
        <v>500</v>
      </c>
      <c r="D534" s="498">
        <v>27.039332999999999</v>
      </c>
      <c r="E534" s="499">
        <v>0</v>
      </c>
      <c r="F534" s="499">
        <f t="shared" si="96"/>
        <v>13519.666499999999</v>
      </c>
      <c r="G534" s="609"/>
      <c r="H534" s="513">
        <v>2400</v>
      </c>
      <c r="I534" s="498">
        <v>15.7</v>
      </c>
      <c r="J534" s="499">
        <v>0.7</v>
      </c>
      <c r="K534" s="499">
        <f t="shared" si="97"/>
        <v>37679.300000000003</v>
      </c>
      <c r="L534" s="497"/>
      <c r="M534" s="499"/>
    </row>
    <row r="535" spans="1:13" x14ac:dyDescent="0.25">
      <c r="A535" s="497"/>
      <c r="B535" s="608"/>
      <c r="C535" s="497">
        <v>1000</v>
      </c>
      <c r="D535" s="498">
        <v>27.039332999999999</v>
      </c>
      <c r="E535" s="499">
        <v>0</v>
      </c>
      <c r="F535" s="499">
        <f t="shared" si="96"/>
        <v>27039.332999999999</v>
      </c>
      <c r="G535" s="496">
        <v>42271</v>
      </c>
      <c r="H535" s="590">
        <v>918</v>
      </c>
      <c r="I535" s="591">
        <v>16.45</v>
      </c>
      <c r="J535" s="592">
        <v>0.28000000000000003</v>
      </c>
      <c r="K535" s="592">
        <f t="shared" si="97"/>
        <v>15100.819999999998</v>
      </c>
      <c r="L535" s="497"/>
      <c r="M535" s="499"/>
    </row>
    <row r="536" spans="1:13" ht="60" x14ac:dyDescent="0.25">
      <c r="A536" s="497"/>
      <c r="B536" s="545">
        <v>42198</v>
      </c>
      <c r="C536" s="497">
        <v>100</v>
      </c>
      <c r="D536" s="498">
        <v>24.77</v>
      </c>
      <c r="E536" s="499">
        <v>0</v>
      </c>
      <c r="F536" s="499">
        <f t="shared" si="96"/>
        <v>2477</v>
      </c>
      <c r="G536" s="610" t="s">
        <v>139</v>
      </c>
      <c r="H536" s="513">
        <v>500</v>
      </c>
      <c r="I536" s="498">
        <v>15.95</v>
      </c>
      <c r="J536" s="499">
        <v>0.15</v>
      </c>
      <c r="K536" s="592">
        <f t="shared" si="97"/>
        <v>7974.85</v>
      </c>
      <c r="L536" s="497"/>
      <c r="M536" s="499"/>
    </row>
    <row r="537" spans="1:13" x14ac:dyDescent="0.25">
      <c r="A537" s="497"/>
      <c r="B537" s="545">
        <v>42205</v>
      </c>
      <c r="C537" s="497">
        <v>50</v>
      </c>
      <c r="D537" s="498">
        <v>24.35</v>
      </c>
      <c r="E537" s="499">
        <v>0</v>
      </c>
      <c r="F537" s="499">
        <f t="shared" si="96"/>
        <v>1217.5</v>
      </c>
      <c r="G537" s="610"/>
      <c r="H537" s="513">
        <v>500</v>
      </c>
      <c r="I537" s="498">
        <v>16.100000000000001</v>
      </c>
      <c r="J537" s="499">
        <v>0.15</v>
      </c>
      <c r="K537" s="592">
        <f t="shared" si="97"/>
        <v>8049.8500000000013</v>
      </c>
      <c r="L537" s="497"/>
      <c r="M537" s="499"/>
    </row>
    <row r="538" spans="1:13" x14ac:dyDescent="0.25">
      <c r="A538" s="497"/>
      <c r="B538" s="545">
        <v>42207</v>
      </c>
      <c r="C538" s="497">
        <v>20</v>
      </c>
      <c r="D538" s="498">
        <v>24.02</v>
      </c>
      <c r="E538" s="499">
        <v>0</v>
      </c>
      <c r="F538" s="499">
        <f t="shared" si="96"/>
        <v>480.4</v>
      </c>
      <c r="G538" s="610"/>
      <c r="H538" s="513">
        <v>500</v>
      </c>
      <c r="I538" s="498">
        <v>16.170000000000002</v>
      </c>
      <c r="J538" s="499">
        <v>0.15</v>
      </c>
      <c r="K538" s="592">
        <f t="shared" si="97"/>
        <v>8084.8500000000013</v>
      </c>
      <c r="L538" s="497"/>
      <c r="M538" s="499"/>
    </row>
    <row r="539" spans="1:13" x14ac:dyDescent="0.25">
      <c r="A539" s="497"/>
      <c r="B539" s="545">
        <v>42207</v>
      </c>
      <c r="C539" s="497">
        <v>20</v>
      </c>
      <c r="D539" s="498">
        <v>23.91</v>
      </c>
      <c r="E539" s="499">
        <v>0</v>
      </c>
      <c r="F539" s="499">
        <f t="shared" si="96"/>
        <v>478.2</v>
      </c>
      <c r="G539" s="610"/>
      <c r="H539" s="513">
        <v>500</v>
      </c>
      <c r="I539" s="498">
        <v>16.28</v>
      </c>
      <c r="J539" s="499">
        <v>0.15</v>
      </c>
      <c r="K539" s="592">
        <f t="shared" si="97"/>
        <v>8139.8500000000013</v>
      </c>
      <c r="L539" s="499"/>
      <c r="M539" s="499"/>
    </row>
    <row r="540" spans="1:13" x14ac:dyDescent="0.25">
      <c r="A540" s="497"/>
      <c r="B540" s="545">
        <v>42207</v>
      </c>
      <c r="C540" s="497">
        <v>20</v>
      </c>
      <c r="D540" s="498">
        <v>23.7</v>
      </c>
      <c r="E540" s="499">
        <v>0</v>
      </c>
      <c r="F540" s="499">
        <f t="shared" si="96"/>
        <v>474</v>
      </c>
      <c r="G540" s="610"/>
      <c r="H540" s="513">
        <v>500</v>
      </c>
      <c r="I540" s="498">
        <v>16.39</v>
      </c>
      <c r="J540" s="499">
        <v>0.15</v>
      </c>
      <c r="K540" s="592">
        <f t="shared" si="97"/>
        <v>8194.85</v>
      </c>
      <c r="L540" s="497"/>
      <c r="M540" s="499"/>
    </row>
    <row r="541" spans="1:13" x14ac:dyDescent="0.25">
      <c r="A541" s="497"/>
      <c r="B541" s="545">
        <v>42207</v>
      </c>
      <c r="C541" s="497">
        <v>20</v>
      </c>
      <c r="D541" s="498">
        <v>23.6</v>
      </c>
      <c r="E541" s="499">
        <v>0</v>
      </c>
      <c r="F541" s="499">
        <f t="shared" si="96"/>
        <v>472</v>
      </c>
      <c r="G541" s="610"/>
      <c r="H541" s="513">
        <v>500</v>
      </c>
      <c r="I541" s="498">
        <v>16.55</v>
      </c>
      <c r="J541" s="499">
        <v>0.17</v>
      </c>
      <c r="K541" s="592">
        <f t="shared" si="97"/>
        <v>8274.83</v>
      </c>
      <c r="L541" s="497"/>
      <c r="M541" s="499"/>
    </row>
    <row r="542" spans="1:13" x14ac:dyDescent="0.25">
      <c r="A542" s="497"/>
      <c r="B542" s="545">
        <v>42209</v>
      </c>
      <c r="C542" s="497">
        <v>40</v>
      </c>
      <c r="D542" s="498">
        <v>22.3</v>
      </c>
      <c r="E542" s="499">
        <v>0</v>
      </c>
      <c r="F542" s="499">
        <f t="shared" si="96"/>
        <v>892</v>
      </c>
      <c r="G542" s="610"/>
      <c r="H542" s="513">
        <v>50</v>
      </c>
      <c r="I542" s="498">
        <v>16.55</v>
      </c>
      <c r="J542" s="499">
        <v>0</v>
      </c>
      <c r="K542" s="592">
        <f t="shared" si="97"/>
        <v>827.5</v>
      </c>
      <c r="L542" s="497"/>
      <c r="M542" s="499"/>
    </row>
    <row r="543" spans="1:13" x14ac:dyDescent="0.25">
      <c r="A543" s="499"/>
      <c r="B543" s="545">
        <v>42221</v>
      </c>
      <c r="C543" s="497">
        <v>12</v>
      </c>
      <c r="D543" s="498">
        <v>20.95</v>
      </c>
      <c r="E543" s="499">
        <v>0</v>
      </c>
      <c r="F543" s="499">
        <f t="shared" si="96"/>
        <v>251.39999999999998</v>
      </c>
      <c r="G543" s="610"/>
      <c r="H543" s="513">
        <v>28</v>
      </c>
      <c r="I543" s="498">
        <v>16.68</v>
      </c>
      <c r="J543" s="499">
        <v>0.01</v>
      </c>
      <c r="K543" s="592">
        <f t="shared" si="97"/>
        <v>467.03</v>
      </c>
      <c r="L543" s="513"/>
      <c r="M543" s="499"/>
    </row>
    <row r="544" spans="1:13" x14ac:dyDescent="0.25">
      <c r="A544" s="497"/>
      <c r="B544" s="545">
        <v>42223</v>
      </c>
      <c r="C544" s="497">
        <v>100</v>
      </c>
      <c r="D544" s="498">
        <v>20.399999999999999</v>
      </c>
      <c r="E544" s="499">
        <v>0</v>
      </c>
      <c r="F544" s="499">
        <f t="shared" si="96"/>
        <v>2039.9999999999998</v>
      </c>
      <c r="G544" s="496">
        <v>42285</v>
      </c>
      <c r="H544" s="513">
        <v>632</v>
      </c>
      <c r="I544" s="498">
        <v>17.850000000000001</v>
      </c>
      <c r="J544" s="499">
        <v>0.21</v>
      </c>
      <c r="K544" s="592">
        <f t="shared" si="97"/>
        <v>11280.990000000002</v>
      </c>
      <c r="L544" s="499"/>
      <c r="M544" s="499"/>
    </row>
    <row r="545" spans="1:13" x14ac:dyDescent="0.25">
      <c r="A545" s="499"/>
      <c r="B545" s="545">
        <v>42226</v>
      </c>
      <c r="C545" s="497">
        <v>200</v>
      </c>
      <c r="D545" s="498">
        <v>19.95</v>
      </c>
      <c r="E545" s="499">
        <v>0</v>
      </c>
      <c r="F545" s="499">
        <f t="shared" si="96"/>
        <v>3990</v>
      </c>
      <c r="G545" s="496">
        <v>42297</v>
      </c>
      <c r="H545" s="513">
        <v>500</v>
      </c>
      <c r="I545" s="498">
        <v>19.149999999999999</v>
      </c>
      <c r="J545" s="499">
        <v>0.18</v>
      </c>
      <c r="K545" s="592">
        <f t="shared" si="97"/>
        <v>9574.82</v>
      </c>
      <c r="L545" s="497"/>
      <c r="M545" s="499"/>
    </row>
    <row r="546" spans="1:13" x14ac:dyDescent="0.25">
      <c r="A546" s="497"/>
      <c r="B546" s="545">
        <v>42226</v>
      </c>
      <c r="C546" s="497">
        <v>50</v>
      </c>
      <c r="D546" s="498">
        <v>20.010000000000002</v>
      </c>
      <c r="E546" s="499">
        <v>0</v>
      </c>
      <c r="F546" s="499">
        <f t="shared" si="96"/>
        <v>1000.5000000000001</v>
      </c>
      <c r="G546" s="496">
        <v>42300</v>
      </c>
      <c r="H546" s="513">
        <v>1000</v>
      </c>
      <c r="I546" s="498">
        <v>18.62</v>
      </c>
      <c r="J546" s="499">
        <v>0.34</v>
      </c>
      <c r="K546" s="592">
        <f t="shared" si="97"/>
        <v>18619.66</v>
      </c>
      <c r="L546" s="497"/>
      <c r="M546" s="499"/>
    </row>
    <row r="547" spans="1:13" x14ac:dyDescent="0.25">
      <c r="A547" s="497"/>
      <c r="B547" s="545">
        <v>42226</v>
      </c>
      <c r="C547" s="497">
        <v>100</v>
      </c>
      <c r="D547" s="498">
        <v>20.2</v>
      </c>
      <c r="E547" s="499">
        <v>0</v>
      </c>
      <c r="F547" s="499">
        <f t="shared" si="96"/>
        <v>2020</v>
      </c>
      <c r="G547" s="496">
        <v>42312</v>
      </c>
      <c r="H547" s="513">
        <v>2500</v>
      </c>
      <c r="I547" s="498">
        <v>18.48</v>
      </c>
      <c r="J547" s="499">
        <v>7.8</v>
      </c>
      <c r="K547" s="499">
        <f t="shared" si="97"/>
        <v>46192.2</v>
      </c>
      <c r="L547" s="497"/>
      <c r="M547" s="499"/>
    </row>
    <row r="548" spans="1:13" x14ac:dyDescent="0.25">
      <c r="A548" s="497"/>
      <c r="B548" s="545">
        <v>42227</v>
      </c>
      <c r="C548" s="497">
        <v>200</v>
      </c>
      <c r="D548" s="498">
        <v>18.399999999999999</v>
      </c>
      <c r="E548" s="499">
        <v>0</v>
      </c>
      <c r="F548" s="499">
        <f t="shared" si="96"/>
        <v>3679.9999999999995</v>
      </c>
      <c r="G548" s="496">
        <v>42313</v>
      </c>
      <c r="H548" s="513">
        <v>3000</v>
      </c>
      <c r="I548" s="498">
        <v>19.059999999999999</v>
      </c>
      <c r="J548" s="499">
        <v>1.05</v>
      </c>
      <c r="K548" s="499">
        <f t="shared" si="97"/>
        <v>57178.94999999999</v>
      </c>
      <c r="L548" s="497"/>
      <c r="M548" s="499"/>
    </row>
    <row r="549" spans="1:13" x14ac:dyDescent="0.25">
      <c r="A549" s="497"/>
      <c r="B549" s="545">
        <v>42227</v>
      </c>
      <c r="C549" s="497">
        <v>200</v>
      </c>
      <c r="D549" s="498">
        <v>19.55</v>
      </c>
      <c r="E549" s="499">
        <v>0</v>
      </c>
      <c r="F549" s="499">
        <f t="shared" si="96"/>
        <v>3910</v>
      </c>
      <c r="G549" s="496">
        <v>42324</v>
      </c>
      <c r="H549" s="513">
        <v>2500</v>
      </c>
      <c r="I549" s="498">
        <v>18.8</v>
      </c>
      <c r="J549" s="499">
        <v>0.86</v>
      </c>
      <c r="K549" s="499">
        <f t="shared" si="97"/>
        <v>46999.14</v>
      </c>
      <c r="L549" s="499"/>
      <c r="M549" s="499"/>
    </row>
    <row r="550" spans="1:13" x14ac:dyDescent="0.25">
      <c r="A550" s="497"/>
      <c r="B550" s="545">
        <v>42234</v>
      </c>
      <c r="C550" s="497">
        <v>40</v>
      </c>
      <c r="D550" s="498">
        <v>18.149999999999999</v>
      </c>
      <c r="E550" s="499">
        <v>0</v>
      </c>
      <c r="F550" s="499">
        <f t="shared" si="96"/>
        <v>726</v>
      </c>
      <c r="G550" s="496">
        <v>42335</v>
      </c>
      <c r="H550" s="513">
        <v>3078</v>
      </c>
      <c r="I550" s="498">
        <v>17.649999999999999</v>
      </c>
      <c r="J550" s="499">
        <v>1</v>
      </c>
      <c r="K550" s="499">
        <f t="shared" si="97"/>
        <v>54325.7</v>
      </c>
      <c r="L550" s="497"/>
      <c r="M550" s="499"/>
    </row>
    <row r="551" spans="1:13" x14ac:dyDescent="0.25">
      <c r="A551" s="497"/>
      <c r="B551" s="545">
        <v>42234</v>
      </c>
      <c r="C551" s="497">
        <v>100</v>
      </c>
      <c r="D551" s="498">
        <v>18</v>
      </c>
      <c r="E551" s="499">
        <v>0</v>
      </c>
      <c r="F551" s="499">
        <f t="shared" si="96"/>
        <v>1800</v>
      </c>
      <c r="G551" s="496">
        <v>42347</v>
      </c>
      <c r="H551" s="513">
        <v>500</v>
      </c>
      <c r="I551" s="498">
        <v>16.149999999999999</v>
      </c>
      <c r="J551" s="499">
        <v>0.15</v>
      </c>
      <c r="K551" s="499">
        <f t="shared" si="97"/>
        <v>8074.8499999999995</v>
      </c>
      <c r="L551" s="497"/>
      <c r="M551" s="499"/>
    </row>
    <row r="552" spans="1:13" x14ac:dyDescent="0.25">
      <c r="A552" s="497"/>
      <c r="B552" s="545">
        <v>42235</v>
      </c>
      <c r="C552" s="497">
        <v>100</v>
      </c>
      <c r="D552" s="498">
        <v>17.78</v>
      </c>
      <c r="E552" s="499">
        <v>0</v>
      </c>
      <c r="F552" s="499">
        <f t="shared" si="96"/>
        <v>1778</v>
      </c>
      <c r="G552" s="496">
        <v>42353</v>
      </c>
      <c r="H552" s="513">
        <v>600</v>
      </c>
      <c r="I552" s="498">
        <v>14.95</v>
      </c>
      <c r="J552" s="499">
        <v>0.17</v>
      </c>
      <c r="K552" s="499">
        <f t="shared" si="97"/>
        <v>8969.83</v>
      </c>
      <c r="L552" s="497"/>
      <c r="M552" s="499"/>
    </row>
    <row r="553" spans="1:13" x14ac:dyDescent="0.25">
      <c r="A553" s="497"/>
      <c r="B553" s="545">
        <v>42235</v>
      </c>
      <c r="C553" s="497">
        <v>100</v>
      </c>
      <c r="D553" s="498">
        <v>17.68</v>
      </c>
      <c r="E553" s="499">
        <v>0</v>
      </c>
      <c r="F553" s="499">
        <f t="shared" si="96"/>
        <v>1768</v>
      </c>
      <c r="G553" s="496">
        <v>42354</v>
      </c>
      <c r="H553" s="513">
        <v>500</v>
      </c>
      <c r="I553" s="498">
        <v>14.32</v>
      </c>
      <c r="J553" s="499">
        <v>0.13</v>
      </c>
      <c r="K553" s="499">
        <f t="shared" si="97"/>
        <v>7159.87</v>
      </c>
      <c r="L553" s="497"/>
      <c r="M553" s="499"/>
    </row>
    <row r="554" spans="1:13" x14ac:dyDescent="0.25">
      <c r="A554" s="497"/>
      <c r="B554" s="545">
        <v>42240</v>
      </c>
      <c r="C554" s="497">
        <v>100</v>
      </c>
      <c r="D554" s="498">
        <v>16.649999999999999</v>
      </c>
      <c r="E554" s="499">
        <v>0</v>
      </c>
      <c r="F554" s="499">
        <f t="shared" si="96"/>
        <v>1664.9999999999998</v>
      </c>
      <c r="G554" s="496">
        <v>42361</v>
      </c>
      <c r="H554" s="513">
        <v>500</v>
      </c>
      <c r="I554" s="498">
        <v>12.83</v>
      </c>
      <c r="J554" s="499">
        <v>0.12</v>
      </c>
      <c r="K554" s="499">
        <f t="shared" si="97"/>
        <v>6414.88</v>
      </c>
      <c r="L554" s="497"/>
      <c r="M554" s="499"/>
    </row>
    <row r="555" spans="1:13" x14ac:dyDescent="0.25">
      <c r="A555" s="497"/>
      <c r="B555" s="545">
        <v>42240</v>
      </c>
      <c r="C555" s="497">
        <v>100</v>
      </c>
      <c r="D555" s="498">
        <v>16.100000000000001</v>
      </c>
      <c r="E555" s="499">
        <v>0</v>
      </c>
      <c r="F555" s="499">
        <f t="shared" si="96"/>
        <v>1610.0000000000002</v>
      </c>
      <c r="G555" s="496">
        <v>42362</v>
      </c>
      <c r="H555" s="513">
        <v>1222</v>
      </c>
      <c r="I555" s="498">
        <v>12.75</v>
      </c>
      <c r="J555" s="499">
        <v>0.28999999999999998</v>
      </c>
      <c r="K555" s="499">
        <f t="shared" si="97"/>
        <v>15580.21</v>
      </c>
      <c r="L555" s="497"/>
      <c r="M555" s="499"/>
    </row>
    <row r="556" spans="1:13" x14ac:dyDescent="0.25">
      <c r="A556" s="497"/>
      <c r="B556" s="545">
        <v>42257</v>
      </c>
      <c r="C556" s="497">
        <v>1500</v>
      </c>
      <c r="D556" s="498">
        <v>16.350000000000001</v>
      </c>
      <c r="E556" s="499">
        <v>0</v>
      </c>
      <c r="F556" s="499">
        <f t="shared" si="96"/>
        <v>24525.000000000004</v>
      </c>
      <c r="G556" s="496">
        <v>42367</v>
      </c>
      <c r="H556" s="513">
        <v>1000</v>
      </c>
      <c r="I556" s="498">
        <v>13.15</v>
      </c>
      <c r="J556" s="499">
        <v>0.24</v>
      </c>
      <c r="K556" s="499">
        <f t="shared" si="97"/>
        <v>13149.76</v>
      </c>
      <c r="L556" s="497"/>
      <c r="M556" s="499"/>
    </row>
    <row r="557" spans="1:13" x14ac:dyDescent="0.25">
      <c r="A557" s="497"/>
      <c r="B557" s="545">
        <v>42258</v>
      </c>
      <c r="C557" s="497">
        <v>100</v>
      </c>
      <c r="D557" s="498">
        <v>16.100000000000001</v>
      </c>
      <c r="E557" s="499">
        <v>0</v>
      </c>
      <c r="F557" s="499">
        <f t="shared" si="96"/>
        <v>1610.0000000000002</v>
      </c>
      <c r="G557" s="496">
        <v>42367</v>
      </c>
      <c r="H557" s="513">
        <v>2178</v>
      </c>
      <c r="I557" s="498">
        <v>13.75</v>
      </c>
      <c r="J557" s="499">
        <v>0.55000000000000004</v>
      </c>
      <c r="K557" s="499">
        <f>H557*I557-J557</f>
        <v>29946.95</v>
      </c>
      <c r="L557" s="497"/>
      <c r="M557" s="499"/>
    </row>
    <row r="558" spans="1:13" x14ac:dyDescent="0.25">
      <c r="A558" s="497"/>
      <c r="B558" s="545">
        <v>42261</v>
      </c>
      <c r="C558" s="497">
        <v>1000</v>
      </c>
      <c r="D558" s="498">
        <v>15.416</v>
      </c>
      <c r="E558" s="499">
        <v>0</v>
      </c>
      <c r="F558" s="499">
        <f t="shared" si="96"/>
        <v>15416</v>
      </c>
      <c r="G558" s="496">
        <v>42010</v>
      </c>
      <c r="H558" s="513">
        <v>1000</v>
      </c>
      <c r="I558" s="498">
        <v>12.63</v>
      </c>
      <c r="J558" s="499">
        <v>0.23</v>
      </c>
      <c r="K558" s="499">
        <f>H558*I558-J558</f>
        <v>12629.77</v>
      </c>
      <c r="L558" s="497"/>
      <c r="M558" s="499"/>
    </row>
    <row r="559" spans="1:13" x14ac:dyDescent="0.25">
      <c r="A559" s="497"/>
      <c r="B559" s="545">
        <v>42261</v>
      </c>
      <c r="C559" s="497">
        <v>1000</v>
      </c>
      <c r="D559" s="498">
        <v>15.1</v>
      </c>
      <c r="E559" s="499">
        <v>0</v>
      </c>
      <c r="F559" s="499">
        <f t="shared" si="96"/>
        <v>15100</v>
      </c>
      <c r="G559" s="593">
        <v>42374</v>
      </c>
      <c r="H559" s="513">
        <v>2000</v>
      </c>
      <c r="I559" s="498">
        <v>12.81</v>
      </c>
      <c r="J559" s="499">
        <v>0.47</v>
      </c>
      <c r="K559" s="499">
        <f t="shared" ref="K559:K571" si="98">H559*I559-J559</f>
        <v>25619.53</v>
      </c>
      <c r="L559" s="497"/>
      <c r="M559" s="499"/>
    </row>
    <row r="560" spans="1:13" x14ac:dyDescent="0.25">
      <c r="A560" s="497"/>
      <c r="B560" s="545">
        <v>42261</v>
      </c>
      <c r="C560" s="497">
        <v>200</v>
      </c>
      <c r="D560" s="498">
        <v>14.87</v>
      </c>
      <c r="E560" s="499">
        <v>0</v>
      </c>
      <c r="F560" s="499">
        <f t="shared" si="96"/>
        <v>2974</v>
      </c>
      <c r="G560" s="496">
        <v>42374</v>
      </c>
      <c r="H560" s="513">
        <v>1000</v>
      </c>
      <c r="I560" s="498">
        <v>12.82</v>
      </c>
      <c r="J560" s="499">
        <v>0.24</v>
      </c>
      <c r="K560" s="499">
        <f t="shared" si="98"/>
        <v>12819.76</v>
      </c>
      <c r="L560" s="497"/>
      <c r="M560" s="499"/>
    </row>
    <row r="561" spans="1:13" x14ac:dyDescent="0.25">
      <c r="A561" s="497"/>
      <c r="B561" s="545">
        <v>42261</v>
      </c>
      <c r="C561" s="497">
        <v>300</v>
      </c>
      <c r="D561" s="498">
        <v>14.87</v>
      </c>
      <c r="E561" s="499">
        <v>0</v>
      </c>
      <c r="F561" s="499">
        <f t="shared" si="96"/>
        <v>4461</v>
      </c>
      <c r="G561" s="496">
        <v>42398</v>
      </c>
      <c r="H561" s="513">
        <v>400</v>
      </c>
      <c r="I561" s="498">
        <v>9.5500000000000007</v>
      </c>
      <c r="J561" s="499">
        <v>7.0000000000000007E-2</v>
      </c>
      <c r="K561" s="499">
        <f t="shared" si="98"/>
        <v>3819.9300000000003</v>
      </c>
      <c r="L561" s="497"/>
      <c r="M561" s="499"/>
    </row>
    <row r="562" spans="1:13" x14ac:dyDescent="0.25">
      <c r="A562" s="497"/>
      <c r="B562" s="545">
        <v>42270</v>
      </c>
      <c r="C562" s="497">
        <v>478</v>
      </c>
      <c r="D562" s="498">
        <v>15.85</v>
      </c>
      <c r="E562" s="499">
        <v>0</v>
      </c>
      <c r="F562" s="499">
        <f t="shared" si="96"/>
        <v>7576.3</v>
      </c>
      <c r="G562" s="496">
        <v>42411</v>
      </c>
      <c r="H562" s="513">
        <v>500</v>
      </c>
      <c r="I562" s="498">
        <v>6.97</v>
      </c>
      <c r="J562" s="499">
        <v>0.08</v>
      </c>
      <c r="K562" s="499">
        <f t="shared" si="98"/>
        <v>3484.92</v>
      </c>
      <c r="L562" s="497"/>
      <c r="M562" s="499"/>
    </row>
    <row r="563" spans="1:13" x14ac:dyDescent="0.25">
      <c r="A563" s="497"/>
      <c r="B563" s="545">
        <v>42292</v>
      </c>
      <c r="C563" s="497">
        <v>500</v>
      </c>
      <c r="D563" s="498">
        <v>18.55</v>
      </c>
      <c r="E563" s="499">
        <v>0</v>
      </c>
      <c r="F563" s="499">
        <f t="shared" si="96"/>
        <v>9275</v>
      </c>
      <c r="G563" s="496">
        <v>42412</v>
      </c>
      <c r="H563" s="513">
        <v>200</v>
      </c>
      <c r="I563" s="498">
        <v>7.45</v>
      </c>
      <c r="J563" s="499">
        <v>0.03</v>
      </c>
      <c r="K563" s="499">
        <f t="shared" si="98"/>
        <v>1489.97</v>
      </c>
      <c r="L563" s="497"/>
      <c r="M563" s="499"/>
    </row>
    <row r="564" spans="1:13" x14ac:dyDescent="0.25">
      <c r="A564" s="497"/>
      <c r="B564" s="545">
        <v>42299</v>
      </c>
      <c r="C564" s="497">
        <v>500</v>
      </c>
      <c r="D564" s="498">
        <v>18.55</v>
      </c>
      <c r="E564" s="499">
        <v>0</v>
      </c>
      <c r="F564" s="499">
        <f t="shared" si="96"/>
        <v>9275</v>
      </c>
      <c r="G564" s="496">
        <v>42416</v>
      </c>
      <c r="H564" s="513">
        <v>500</v>
      </c>
      <c r="I564" s="498">
        <v>7.75</v>
      </c>
      <c r="J564" s="499">
        <v>0.08</v>
      </c>
      <c r="K564" s="499">
        <f t="shared" si="98"/>
        <v>3874.92</v>
      </c>
      <c r="L564" s="497"/>
      <c r="M564" s="499"/>
    </row>
    <row r="565" spans="1:13" x14ac:dyDescent="0.25">
      <c r="A565" s="497"/>
      <c r="B565" s="545">
        <v>42299</v>
      </c>
      <c r="C565" s="497">
        <v>500</v>
      </c>
      <c r="D565" s="498">
        <v>18.28</v>
      </c>
      <c r="E565" s="499">
        <v>0</v>
      </c>
      <c r="F565" s="499">
        <f t="shared" si="96"/>
        <v>9140</v>
      </c>
      <c r="G565" s="496">
        <v>42422</v>
      </c>
      <c r="H565" s="513">
        <v>2500</v>
      </c>
      <c r="I565" s="498">
        <v>7.47</v>
      </c>
      <c r="J565" s="499">
        <v>0.41</v>
      </c>
      <c r="K565" s="499">
        <f t="shared" si="98"/>
        <v>18674.59</v>
      </c>
      <c r="L565" s="497"/>
      <c r="M565" s="499"/>
    </row>
    <row r="566" spans="1:13" x14ac:dyDescent="0.25">
      <c r="A566" s="497"/>
      <c r="B566" s="545">
        <v>42299</v>
      </c>
      <c r="C566" s="497">
        <v>1000</v>
      </c>
      <c r="D566" s="498">
        <v>18.100000000000001</v>
      </c>
      <c r="E566" s="499">
        <v>0</v>
      </c>
      <c r="F566" s="499">
        <f t="shared" si="96"/>
        <v>18100</v>
      </c>
      <c r="G566" s="496">
        <v>42422</v>
      </c>
      <c r="H566" s="513">
        <v>1000</v>
      </c>
      <c r="I566" s="498">
        <v>7.49</v>
      </c>
      <c r="J566" s="499">
        <v>0.16</v>
      </c>
      <c r="K566" s="499">
        <f t="shared" si="98"/>
        <v>7489.84</v>
      </c>
      <c r="L566" s="497"/>
      <c r="M566" s="499"/>
    </row>
    <row r="567" spans="1:13" x14ac:dyDescent="0.25">
      <c r="A567" s="497"/>
      <c r="B567" s="608">
        <v>42306</v>
      </c>
      <c r="C567" s="497">
        <v>660</v>
      </c>
      <c r="D567" s="498">
        <v>17.8</v>
      </c>
      <c r="E567" s="499">
        <v>0</v>
      </c>
      <c r="F567" s="499">
        <f t="shared" si="96"/>
        <v>11748</v>
      </c>
      <c r="G567" s="496">
        <v>42426</v>
      </c>
      <c r="H567" s="513">
        <v>900</v>
      </c>
      <c r="I567" s="498">
        <v>7.7</v>
      </c>
      <c r="J567" s="499">
        <v>0.15</v>
      </c>
      <c r="K567" s="499">
        <f t="shared" si="98"/>
        <v>6929.85</v>
      </c>
      <c r="L567" s="497"/>
      <c r="M567" s="499"/>
    </row>
    <row r="568" spans="1:13" ht="30" x14ac:dyDescent="0.25">
      <c r="A568" s="497"/>
      <c r="B568" s="608"/>
      <c r="C568" s="497">
        <v>340</v>
      </c>
      <c r="D568" s="498">
        <v>17.8</v>
      </c>
      <c r="E568" s="499">
        <v>0</v>
      </c>
      <c r="F568" s="499">
        <f t="shared" si="96"/>
        <v>6052</v>
      </c>
      <c r="G568" s="611" t="s">
        <v>181</v>
      </c>
      <c r="H568" s="513">
        <v>500</v>
      </c>
      <c r="I568" s="498">
        <v>7.73</v>
      </c>
      <c r="J568" s="499">
        <v>0.08</v>
      </c>
      <c r="K568" s="499">
        <f t="shared" si="98"/>
        <v>3864.92</v>
      </c>
      <c r="L568" s="497"/>
      <c r="M568" s="499"/>
    </row>
    <row r="569" spans="1:13" x14ac:dyDescent="0.25">
      <c r="A569" s="497"/>
      <c r="B569" s="545">
        <v>42312</v>
      </c>
      <c r="C569" s="594">
        <v>500</v>
      </c>
      <c r="D569" s="591">
        <v>17.559999999999999</v>
      </c>
      <c r="E569" s="592">
        <v>6.95</v>
      </c>
      <c r="F569" s="592">
        <f t="shared" si="96"/>
        <v>8786.9500000000007</v>
      </c>
      <c r="G569" s="611"/>
      <c r="H569" s="513">
        <v>500</v>
      </c>
      <c r="I569" s="498">
        <v>7.96</v>
      </c>
      <c r="J569" s="499">
        <v>0.09</v>
      </c>
      <c r="K569" s="499">
        <f t="shared" si="98"/>
        <v>3979.91</v>
      </c>
      <c r="L569" s="497"/>
      <c r="M569" s="499"/>
    </row>
    <row r="570" spans="1:13" x14ac:dyDescent="0.25">
      <c r="A570" s="497"/>
      <c r="B570" s="545">
        <v>42313</v>
      </c>
      <c r="C570" s="497">
        <v>3000</v>
      </c>
      <c r="D570" s="498">
        <v>19.05</v>
      </c>
      <c r="E570" s="499">
        <v>0</v>
      </c>
      <c r="F570" s="499">
        <f t="shared" si="96"/>
        <v>57150</v>
      </c>
      <c r="G570" s="611"/>
      <c r="H570" s="513">
        <v>500</v>
      </c>
      <c r="I570" s="498">
        <v>8.0299999999999994</v>
      </c>
      <c r="J570" s="499">
        <v>0.09</v>
      </c>
      <c r="K570" s="499">
        <f t="shared" si="98"/>
        <v>4014.9099999999994</v>
      </c>
      <c r="L570" s="497"/>
      <c r="M570" s="498"/>
    </row>
    <row r="571" spans="1:13" x14ac:dyDescent="0.25">
      <c r="A571" s="497"/>
      <c r="B571" s="545">
        <v>42320</v>
      </c>
      <c r="C571" s="497">
        <v>500</v>
      </c>
      <c r="D571" s="498">
        <v>18.079999999999998</v>
      </c>
      <c r="E571" s="499">
        <v>0</v>
      </c>
      <c r="F571" s="499">
        <f t="shared" si="96"/>
        <v>9040</v>
      </c>
      <c r="G571" s="611"/>
      <c r="H571" s="513">
        <v>1500</v>
      </c>
      <c r="I571" s="498">
        <v>8.1</v>
      </c>
      <c r="J571" s="499">
        <v>0.26</v>
      </c>
      <c r="K571" s="499">
        <f t="shared" si="98"/>
        <v>12149.74</v>
      </c>
      <c r="L571" s="497"/>
      <c r="M571" s="499"/>
    </row>
    <row r="572" spans="1:13" x14ac:dyDescent="0.25">
      <c r="A572" s="497"/>
      <c r="B572" s="545">
        <v>42320</v>
      </c>
      <c r="C572" s="497">
        <v>1000</v>
      </c>
      <c r="D572" s="498">
        <v>18.05</v>
      </c>
      <c r="E572" s="499">
        <v>0</v>
      </c>
      <c r="F572" s="499">
        <f t="shared" si="96"/>
        <v>18050</v>
      </c>
      <c r="G572" s="496">
        <v>42429</v>
      </c>
      <c r="H572" s="513">
        <v>1000</v>
      </c>
      <c r="I572" s="498">
        <v>8.5399999999999991</v>
      </c>
      <c r="J572" s="499">
        <v>0.19</v>
      </c>
      <c r="K572" s="499">
        <f>H572*I572-J572</f>
        <v>8539.81</v>
      </c>
      <c r="L572" s="497"/>
      <c r="M572" s="595"/>
    </row>
    <row r="573" spans="1:13" x14ac:dyDescent="0.25">
      <c r="A573" s="497"/>
      <c r="B573" s="545">
        <v>42320</v>
      </c>
      <c r="C573" s="497">
        <v>1000</v>
      </c>
      <c r="D573" s="498">
        <v>17.82</v>
      </c>
      <c r="E573" s="499">
        <v>0</v>
      </c>
      <c r="F573" s="499">
        <f t="shared" si="96"/>
        <v>17820</v>
      </c>
      <c r="G573" s="496">
        <v>42429</v>
      </c>
      <c r="H573" s="513">
        <v>500</v>
      </c>
      <c r="I573" s="498">
        <v>7.95</v>
      </c>
      <c r="J573" s="499">
        <v>0.09</v>
      </c>
      <c r="K573" s="499">
        <f>H573*I573-J573</f>
        <v>3974.91</v>
      </c>
      <c r="L573" s="497"/>
      <c r="M573" s="499"/>
    </row>
    <row r="574" spans="1:13" x14ac:dyDescent="0.25">
      <c r="A574" s="497"/>
      <c r="B574" s="545">
        <v>42328</v>
      </c>
      <c r="C574" s="497">
        <v>3078</v>
      </c>
      <c r="D574" s="498">
        <v>17.47</v>
      </c>
      <c r="E574" s="499">
        <v>0</v>
      </c>
      <c r="F574" s="499">
        <f t="shared" si="96"/>
        <v>53772.659999999996</v>
      </c>
      <c r="G574" s="496">
        <v>42429</v>
      </c>
      <c r="H574" s="513">
        <v>500</v>
      </c>
      <c r="I574" s="498">
        <v>7.97</v>
      </c>
      <c r="J574" s="499">
        <v>0.09</v>
      </c>
      <c r="K574" s="499">
        <f t="shared" ref="K574:K633" si="99">H574*I574-J574</f>
        <v>3984.91</v>
      </c>
      <c r="L574" s="497"/>
      <c r="M574" s="499"/>
    </row>
    <row r="575" spans="1:13" x14ac:dyDescent="0.25">
      <c r="A575" s="497"/>
      <c r="B575" s="545">
        <v>42340</v>
      </c>
      <c r="C575" s="497">
        <v>3078</v>
      </c>
      <c r="D575" s="498">
        <v>17.739999999999998</v>
      </c>
      <c r="E575" s="499">
        <v>0</v>
      </c>
      <c r="F575" s="499">
        <f t="shared" si="96"/>
        <v>54603.719999999994</v>
      </c>
      <c r="G575" s="496">
        <v>42430</v>
      </c>
      <c r="H575" s="513">
        <v>500</v>
      </c>
      <c r="I575" s="498">
        <v>7.85</v>
      </c>
      <c r="J575" s="499">
        <v>0.09</v>
      </c>
      <c r="K575" s="499">
        <f t="shared" si="99"/>
        <v>3924.91</v>
      </c>
      <c r="L575" s="497"/>
      <c r="M575" s="499"/>
    </row>
    <row r="576" spans="1:13" x14ac:dyDescent="0.25">
      <c r="A576" s="497"/>
      <c r="B576" s="545">
        <v>42340</v>
      </c>
      <c r="C576" s="497">
        <v>500</v>
      </c>
      <c r="D576" s="498">
        <v>17.5</v>
      </c>
      <c r="E576" s="499">
        <v>0</v>
      </c>
      <c r="F576" s="499">
        <f t="shared" si="96"/>
        <v>8750</v>
      </c>
      <c r="G576" s="496">
        <v>42430</v>
      </c>
      <c r="H576" s="513">
        <v>500</v>
      </c>
      <c r="I576" s="498">
        <v>8.0299999999999994</v>
      </c>
      <c r="J576" s="499">
        <v>0.09</v>
      </c>
      <c r="K576" s="499">
        <f t="shared" si="99"/>
        <v>4014.9099999999994</v>
      </c>
      <c r="L576" s="499"/>
      <c r="M576" s="499"/>
    </row>
    <row r="577" spans="1:13" x14ac:dyDescent="0.25">
      <c r="A577" s="497"/>
      <c r="B577" s="545">
        <v>42345</v>
      </c>
      <c r="C577" s="497">
        <v>100</v>
      </c>
      <c r="D577" s="498">
        <v>16.7</v>
      </c>
      <c r="E577" s="499">
        <v>0</v>
      </c>
      <c r="F577" s="499">
        <f t="shared" si="96"/>
        <v>1670</v>
      </c>
      <c r="G577" s="496">
        <v>42431</v>
      </c>
      <c r="H577" s="513">
        <v>500</v>
      </c>
      <c r="I577" s="498">
        <v>8.3800000000000008</v>
      </c>
      <c r="J577" s="499">
        <v>0.09</v>
      </c>
      <c r="K577" s="499">
        <f t="shared" si="99"/>
        <v>4189.91</v>
      </c>
      <c r="L577" s="499"/>
      <c r="M577" s="499"/>
    </row>
    <row r="578" spans="1:13" x14ac:dyDescent="0.25">
      <c r="A578" s="497"/>
      <c r="B578" s="545">
        <v>42345</v>
      </c>
      <c r="C578" s="497">
        <v>500</v>
      </c>
      <c r="D578" s="498">
        <v>16.850000000000001</v>
      </c>
      <c r="E578" s="499">
        <v>0</v>
      </c>
      <c r="F578" s="499">
        <f t="shared" si="96"/>
        <v>8425</v>
      </c>
      <c r="G578" s="496">
        <v>42431</v>
      </c>
      <c r="H578" s="513">
        <v>500</v>
      </c>
      <c r="I578" s="498">
        <v>8.58</v>
      </c>
      <c r="J578" s="499">
        <v>0.09</v>
      </c>
      <c r="K578" s="499">
        <f t="shared" si="99"/>
        <v>4289.91</v>
      </c>
      <c r="L578" s="497"/>
      <c r="M578" s="499"/>
    </row>
    <row r="579" spans="1:13" ht="30" x14ac:dyDescent="0.25">
      <c r="A579" s="497"/>
      <c r="B579" s="545">
        <v>42347</v>
      </c>
      <c r="C579" s="497">
        <v>500</v>
      </c>
      <c r="D579" s="498">
        <v>15.84</v>
      </c>
      <c r="E579" s="499">
        <v>0</v>
      </c>
      <c r="F579" s="499">
        <f t="shared" si="96"/>
        <v>7920</v>
      </c>
      <c r="G579" s="610" t="s">
        <v>183</v>
      </c>
      <c r="H579" s="513">
        <v>400</v>
      </c>
      <c r="I579" s="498">
        <v>9.09</v>
      </c>
      <c r="J579" s="499">
        <v>0.1</v>
      </c>
      <c r="K579" s="499">
        <f t="shared" si="99"/>
        <v>3635.9</v>
      </c>
      <c r="L579" s="497"/>
      <c r="M579" s="499"/>
    </row>
    <row r="580" spans="1:13" x14ac:dyDescent="0.25">
      <c r="A580" s="497"/>
      <c r="B580" s="545">
        <v>42348</v>
      </c>
      <c r="C580" s="497">
        <v>500</v>
      </c>
      <c r="D580" s="498">
        <v>14.78</v>
      </c>
      <c r="E580" s="499">
        <v>0</v>
      </c>
      <c r="F580" s="499">
        <f t="shared" si="96"/>
        <v>7390</v>
      </c>
      <c r="G580" s="610"/>
      <c r="H580" s="513">
        <v>100</v>
      </c>
      <c r="I580" s="498">
        <v>9.09</v>
      </c>
      <c r="J580" s="499">
        <v>0</v>
      </c>
      <c r="K580" s="499">
        <f t="shared" si="99"/>
        <v>909</v>
      </c>
      <c r="L580" s="497"/>
      <c r="M580" s="499"/>
    </row>
    <row r="581" spans="1:13" x14ac:dyDescent="0.25">
      <c r="A581" s="497"/>
      <c r="B581" s="545">
        <v>42352</v>
      </c>
      <c r="C581" s="497">
        <v>100</v>
      </c>
      <c r="D581" s="498">
        <v>14.57</v>
      </c>
      <c r="E581" s="499">
        <v>0</v>
      </c>
      <c r="F581" s="499">
        <f t="shared" si="96"/>
        <v>1457</v>
      </c>
      <c r="G581" s="610"/>
      <c r="H581" s="513">
        <v>500</v>
      </c>
      <c r="I581" s="498">
        <v>8.81</v>
      </c>
      <c r="J581" s="499">
        <v>0.1</v>
      </c>
      <c r="K581" s="499">
        <f t="shared" si="99"/>
        <v>4404.8999999999996</v>
      </c>
      <c r="L581" s="497"/>
      <c r="M581" s="499"/>
    </row>
    <row r="582" spans="1:13" x14ac:dyDescent="0.25">
      <c r="A582" s="497"/>
      <c r="B582" s="545">
        <v>42355</v>
      </c>
      <c r="C582" s="497">
        <v>500</v>
      </c>
      <c r="D582" s="498">
        <v>13.89</v>
      </c>
      <c r="E582" s="499">
        <v>0</v>
      </c>
      <c r="F582" s="499">
        <f t="shared" si="96"/>
        <v>6945</v>
      </c>
      <c r="G582" s="496">
        <v>42432</v>
      </c>
      <c r="H582" s="513">
        <v>600</v>
      </c>
      <c r="I582" s="498">
        <v>9.65</v>
      </c>
      <c r="J582" s="499">
        <v>0.13</v>
      </c>
      <c r="K582" s="499">
        <f t="shared" si="99"/>
        <v>5789.87</v>
      </c>
      <c r="L582" s="497"/>
      <c r="M582" s="499"/>
    </row>
    <row r="583" spans="1:13" x14ac:dyDescent="0.25">
      <c r="A583" s="497"/>
      <c r="B583" s="545">
        <v>42360</v>
      </c>
      <c r="C583" s="497">
        <v>500</v>
      </c>
      <c r="D583" s="498">
        <v>12.95</v>
      </c>
      <c r="E583" s="499">
        <v>0</v>
      </c>
      <c r="F583" s="499">
        <f t="shared" si="96"/>
        <v>6475</v>
      </c>
      <c r="G583" s="496">
        <v>42433</v>
      </c>
      <c r="H583" s="513">
        <v>600</v>
      </c>
      <c r="I583" s="498">
        <v>10.45</v>
      </c>
      <c r="J583" s="499">
        <v>0.14000000000000001</v>
      </c>
      <c r="K583" s="499">
        <f t="shared" si="99"/>
        <v>6269.86</v>
      </c>
      <c r="L583" s="497"/>
      <c r="M583" s="499"/>
    </row>
    <row r="584" spans="1:13" x14ac:dyDescent="0.25">
      <c r="A584" s="497"/>
      <c r="B584" s="545">
        <v>42361</v>
      </c>
      <c r="C584" s="497">
        <v>500</v>
      </c>
      <c r="D584" s="498">
        <v>12.75</v>
      </c>
      <c r="E584" s="499">
        <v>0</v>
      </c>
      <c r="F584" s="499">
        <f t="shared" si="96"/>
        <v>6375</v>
      </c>
      <c r="G584" s="496">
        <v>42440</v>
      </c>
      <c r="H584" s="513">
        <v>400</v>
      </c>
      <c r="I584" s="498">
        <v>11.25</v>
      </c>
      <c r="J584" s="499">
        <v>0.1</v>
      </c>
      <c r="K584" s="499">
        <f t="shared" si="99"/>
        <v>4499.8999999999996</v>
      </c>
      <c r="L584" s="497"/>
      <c r="M584" s="499"/>
    </row>
    <row r="585" spans="1:13" x14ac:dyDescent="0.25">
      <c r="A585" s="497"/>
      <c r="B585" s="545">
        <v>42361</v>
      </c>
      <c r="C585" s="497">
        <v>500</v>
      </c>
      <c r="D585" s="498">
        <v>12.8</v>
      </c>
      <c r="E585" s="499">
        <v>0</v>
      </c>
      <c r="F585" s="499">
        <f t="shared" si="96"/>
        <v>6400</v>
      </c>
      <c r="G585" s="496">
        <v>42446</v>
      </c>
      <c r="H585" s="513">
        <v>1500</v>
      </c>
      <c r="I585" s="498">
        <v>11.49</v>
      </c>
      <c r="J585" s="499">
        <v>0.38</v>
      </c>
      <c r="K585" s="499">
        <f t="shared" si="99"/>
        <v>17234.62</v>
      </c>
      <c r="L585" s="497"/>
      <c r="M585" s="499"/>
    </row>
    <row r="586" spans="1:13" x14ac:dyDescent="0.25">
      <c r="A586" s="497"/>
      <c r="B586" s="545">
        <v>42361</v>
      </c>
      <c r="C586" s="497">
        <v>1000</v>
      </c>
      <c r="D586" s="498">
        <v>12.67</v>
      </c>
      <c r="E586" s="499">
        <v>0</v>
      </c>
      <c r="F586" s="499">
        <f t="shared" si="96"/>
        <v>12670</v>
      </c>
      <c r="G586" s="496">
        <v>42447</v>
      </c>
      <c r="H586" s="513">
        <v>1500</v>
      </c>
      <c r="I586" s="498">
        <v>11.44</v>
      </c>
      <c r="J586" s="499">
        <v>0.37</v>
      </c>
      <c r="K586" s="499">
        <f t="shared" si="99"/>
        <v>17159.63</v>
      </c>
      <c r="L586" s="497"/>
      <c r="M586" s="499"/>
    </row>
    <row r="587" spans="1:13" x14ac:dyDescent="0.25">
      <c r="A587" s="497"/>
      <c r="B587" s="545">
        <v>42361</v>
      </c>
      <c r="C587" s="497">
        <v>222</v>
      </c>
      <c r="D587" s="498">
        <v>12.44</v>
      </c>
      <c r="E587" s="499">
        <v>0</v>
      </c>
      <c r="F587" s="499">
        <f t="shared" si="96"/>
        <v>2761.68</v>
      </c>
      <c r="G587" s="496">
        <v>42447</v>
      </c>
      <c r="H587" s="513">
        <v>500</v>
      </c>
      <c r="I587" s="498">
        <v>11.484999999999999</v>
      </c>
      <c r="J587" s="499">
        <v>0.13</v>
      </c>
      <c r="K587" s="499">
        <f t="shared" si="99"/>
        <v>5742.37</v>
      </c>
      <c r="L587" s="497"/>
      <c r="M587" s="499"/>
    </row>
    <row r="588" spans="1:13" x14ac:dyDescent="0.25">
      <c r="A588" s="497"/>
      <c r="B588" s="545">
        <v>42367</v>
      </c>
      <c r="C588" s="497">
        <v>2178</v>
      </c>
      <c r="D588" s="498">
        <v>13.68</v>
      </c>
      <c r="E588" s="499">
        <v>0</v>
      </c>
      <c r="F588" s="499">
        <f t="shared" si="96"/>
        <v>29795.040000000001</v>
      </c>
      <c r="G588" s="609">
        <v>42447</v>
      </c>
      <c r="H588" s="513">
        <v>650</v>
      </c>
      <c r="I588" s="498">
        <v>11.56</v>
      </c>
      <c r="J588" s="499">
        <v>0.25</v>
      </c>
      <c r="K588" s="499">
        <f t="shared" si="99"/>
        <v>7513.75</v>
      </c>
      <c r="L588" s="497"/>
      <c r="M588" s="499"/>
    </row>
    <row r="589" spans="1:13" x14ac:dyDescent="0.25">
      <c r="A589" s="497"/>
      <c r="B589" s="545">
        <v>42369</v>
      </c>
      <c r="C589" s="497">
        <v>2500</v>
      </c>
      <c r="D589" s="498">
        <v>13.04</v>
      </c>
      <c r="E589" s="499">
        <v>0</v>
      </c>
      <c r="F589" s="499">
        <f t="shared" si="96"/>
        <v>32599.999999999996</v>
      </c>
      <c r="G589" s="609"/>
      <c r="H589" s="513">
        <v>350</v>
      </c>
      <c r="I589" s="498">
        <v>11.56</v>
      </c>
      <c r="J589" s="499">
        <v>0</v>
      </c>
      <c r="K589" s="499">
        <f t="shared" si="99"/>
        <v>4046</v>
      </c>
      <c r="L589" s="497"/>
      <c r="M589" s="499"/>
    </row>
    <row r="590" spans="1:13" x14ac:dyDescent="0.25">
      <c r="A590" s="497"/>
      <c r="B590" s="545">
        <v>42008</v>
      </c>
      <c r="C590" s="497">
        <v>2000</v>
      </c>
      <c r="D590" s="498">
        <v>13.01</v>
      </c>
      <c r="E590" s="499">
        <v>0</v>
      </c>
      <c r="F590" s="499">
        <f t="shared" si="96"/>
        <v>26020</v>
      </c>
      <c r="G590" s="496">
        <v>42447</v>
      </c>
      <c r="H590" s="513">
        <v>1000</v>
      </c>
      <c r="I590" s="498">
        <v>11.62</v>
      </c>
      <c r="J590" s="499">
        <v>0.25</v>
      </c>
      <c r="K590" s="499">
        <f t="shared" si="99"/>
        <v>11619.75</v>
      </c>
      <c r="L590" s="497"/>
      <c r="M590" s="499"/>
    </row>
    <row r="591" spans="1:13" x14ac:dyDescent="0.25">
      <c r="A591" s="497"/>
      <c r="B591" s="545">
        <v>42009</v>
      </c>
      <c r="C591" s="497">
        <v>500</v>
      </c>
      <c r="D591" s="498">
        <v>12.62</v>
      </c>
      <c r="E591" s="499">
        <v>0</v>
      </c>
      <c r="F591" s="499">
        <f t="shared" si="96"/>
        <v>6310</v>
      </c>
      <c r="G591" s="496">
        <v>42451</v>
      </c>
      <c r="H591" s="513">
        <v>1000</v>
      </c>
      <c r="I591" s="498">
        <v>11.45</v>
      </c>
      <c r="J591" s="499">
        <v>0.25</v>
      </c>
      <c r="K591" s="499">
        <f t="shared" si="99"/>
        <v>11449.75</v>
      </c>
      <c r="L591" s="497"/>
      <c r="M591" s="499"/>
    </row>
    <row r="592" spans="1:13" x14ac:dyDescent="0.25">
      <c r="A592" s="497"/>
      <c r="B592" s="545">
        <v>42009</v>
      </c>
      <c r="C592" s="497">
        <v>500</v>
      </c>
      <c r="D592" s="498">
        <v>12.45</v>
      </c>
      <c r="E592" s="499">
        <v>0</v>
      </c>
      <c r="F592" s="499">
        <f t="shared" si="96"/>
        <v>6225</v>
      </c>
      <c r="G592" s="496">
        <v>42451</v>
      </c>
      <c r="H592" s="513">
        <v>50</v>
      </c>
      <c r="I592" s="498">
        <v>11.28</v>
      </c>
      <c r="J592" s="499">
        <v>0.01</v>
      </c>
      <c r="K592" s="499">
        <f t="shared" si="99"/>
        <v>563.99</v>
      </c>
      <c r="L592" s="497"/>
      <c r="M592" s="499"/>
    </row>
    <row r="593" spans="1:13" x14ac:dyDescent="0.25">
      <c r="A593" s="497"/>
      <c r="B593" s="596">
        <v>42374</v>
      </c>
      <c r="C593" s="497">
        <v>2000</v>
      </c>
      <c r="D593" s="498">
        <v>12.73</v>
      </c>
      <c r="E593" s="499">
        <v>0</v>
      </c>
      <c r="F593" s="499">
        <f t="shared" ref="F593:F656" si="100">C593*D593+E593</f>
        <v>25460</v>
      </c>
      <c r="G593" s="496">
        <v>42459</v>
      </c>
      <c r="H593" s="513">
        <v>2000</v>
      </c>
      <c r="I593" s="498">
        <v>10.75</v>
      </c>
      <c r="J593" s="499">
        <v>0.47</v>
      </c>
      <c r="K593" s="499">
        <f t="shared" si="99"/>
        <v>21499.53</v>
      </c>
      <c r="L593" s="497"/>
      <c r="M593" s="499"/>
    </row>
    <row r="594" spans="1:13" x14ac:dyDescent="0.25">
      <c r="A594" s="497"/>
      <c r="B594" s="545">
        <v>42375</v>
      </c>
      <c r="C594" s="497">
        <v>1000</v>
      </c>
      <c r="D594" s="498">
        <v>12.5</v>
      </c>
      <c r="E594" s="499">
        <v>0</v>
      </c>
      <c r="F594" s="499">
        <f t="shared" si="100"/>
        <v>12500</v>
      </c>
      <c r="G594" s="496">
        <v>42460</v>
      </c>
      <c r="H594" s="513">
        <v>1600</v>
      </c>
      <c r="I594" s="498">
        <v>10.95</v>
      </c>
      <c r="J594" s="499">
        <v>2.88</v>
      </c>
      <c r="K594" s="499">
        <f t="shared" si="99"/>
        <v>17517.12</v>
      </c>
      <c r="L594" s="497"/>
      <c r="M594" s="499"/>
    </row>
    <row r="595" spans="1:13" x14ac:dyDescent="0.25">
      <c r="A595" s="497"/>
      <c r="B595" s="545">
        <v>42375</v>
      </c>
      <c r="C595" s="497">
        <v>1000</v>
      </c>
      <c r="D595" s="498">
        <v>11.7</v>
      </c>
      <c r="E595" s="499">
        <v>0</v>
      </c>
      <c r="F595" s="499">
        <f t="shared" si="100"/>
        <v>11700</v>
      </c>
      <c r="G595" s="496">
        <v>42461</v>
      </c>
      <c r="H595" s="513">
        <v>2000</v>
      </c>
      <c r="I595" s="498">
        <v>10.52</v>
      </c>
      <c r="J595" s="499">
        <v>0.46</v>
      </c>
      <c r="K595" s="499">
        <f t="shared" si="99"/>
        <v>21039.54</v>
      </c>
      <c r="L595" s="497"/>
      <c r="M595" s="499"/>
    </row>
    <row r="596" spans="1:13" x14ac:dyDescent="0.25">
      <c r="A596" s="497"/>
      <c r="B596" s="545">
        <v>42402</v>
      </c>
      <c r="C596" s="497">
        <v>400</v>
      </c>
      <c r="D596" s="498">
        <v>9.1</v>
      </c>
      <c r="E596" s="499">
        <v>0</v>
      </c>
      <c r="F596" s="499">
        <f t="shared" si="100"/>
        <v>3640</v>
      </c>
      <c r="G596" s="496">
        <v>42461</v>
      </c>
      <c r="H596" s="513">
        <v>2000</v>
      </c>
      <c r="I596" s="498">
        <v>10.55</v>
      </c>
      <c r="J596" s="499">
        <v>0.46</v>
      </c>
      <c r="K596" s="499">
        <f t="shared" si="99"/>
        <v>21099.54</v>
      </c>
      <c r="L596" s="497"/>
      <c r="M596" s="499"/>
    </row>
    <row r="597" spans="1:13" x14ac:dyDescent="0.25">
      <c r="A597" s="497"/>
      <c r="B597" s="545">
        <v>42411</v>
      </c>
      <c r="C597" s="497">
        <v>500</v>
      </c>
      <c r="D597" s="498">
        <v>6.835</v>
      </c>
      <c r="E597" s="499">
        <v>0</v>
      </c>
      <c r="F597" s="499">
        <f t="shared" si="100"/>
        <v>3417.5</v>
      </c>
      <c r="G597" s="496">
        <v>42465</v>
      </c>
      <c r="H597" s="513">
        <v>100</v>
      </c>
      <c r="I597" s="498">
        <v>10.75</v>
      </c>
      <c r="J597" s="499">
        <v>0.02</v>
      </c>
      <c r="K597" s="499">
        <f t="shared" si="99"/>
        <v>1074.98</v>
      </c>
      <c r="L597" s="497"/>
      <c r="M597" s="499"/>
    </row>
    <row r="598" spans="1:13" x14ac:dyDescent="0.25">
      <c r="A598" s="497"/>
      <c r="B598" s="545">
        <v>42412</v>
      </c>
      <c r="C598" s="497">
        <v>200</v>
      </c>
      <c r="D598" s="498">
        <v>7.23</v>
      </c>
      <c r="E598" s="499">
        <v>0</v>
      </c>
      <c r="F598" s="499">
        <f t="shared" si="100"/>
        <v>1446</v>
      </c>
      <c r="G598" s="496">
        <v>42468</v>
      </c>
      <c r="H598" s="513">
        <v>1000</v>
      </c>
      <c r="I598" s="498">
        <v>11.77</v>
      </c>
      <c r="J598" s="499">
        <v>0.26</v>
      </c>
      <c r="K598" s="499">
        <f t="shared" si="99"/>
        <v>11769.74</v>
      </c>
      <c r="L598" s="497"/>
      <c r="M598" s="499"/>
    </row>
    <row r="599" spans="1:13" x14ac:dyDescent="0.25">
      <c r="A599" s="497"/>
      <c r="B599" s="545">
        <v>42416</v>
      </c>
      <c r="C599" s="497">
        <v>500</v>
      </c>
      <c r="D599" s="498">
        <v>7.5</v>
      </c>
      <c r="E599" s="499">
        <v>0</v>
      </c>
      <c r="F599" s="499">
        <f t="shared" si="100"/>
        <v>3750</v>
      </c>
      <c r="G599" s="609">
        <v>42472</v>
      </c>
      <c r="H599" s="513">
        <v>420</v>
      </c>
      <c r="I599" s="498">
        <v>13.35</v>
      </c>
      <c r="J599" s="499">
        <v>0.15</v>
      </c>
      <c r="K599" s="499">
        <f t="shared" si="99"/>
        <v>5606.85</v>
      </c>
      <c r="L599" s="497"/>
      <c r="M599" s="499"/>
    </row>
    <row r="600" spans="1:13" ht="30" x14ac:dyDescent="0.25">
      <c r="A600" s="497"/>
      <c r="B600" s="612" t="s">
        <v>179</v>
      </c>
      <c r="C600" s="497">
        <v>3000</v>
      </c>
      <c r="D600" s="498">
        <v>7.55</v>
      </c>
      <c r="E600" s="499">
        <v>0</v>
      </c>
      <c r="F600" s="499">
        <f t="shared" si="100"/>
        <v>22650</v>
      </c>
      <c r="G600" s="609"/>
      <c r="H600" s="513">
        <v>80</v>
      </c>
      <c r="I600" s="498">
        <v>13.35</v>
      </c>
      <c r="J600" s="499">
        <v>0</v>
      </c>
      <c r="K600" s="499">
        <f t="shared" si="99"/>
        <v>1068</v>
      </c>
      <c r="L600" s="497"/>
      <c r="M600" s="499"/>
    </row>
    <row r="601" spans="1:13" x14ac:dyDescent="0.25">
      <c r="A601" s="497"/>
      <c r="B601" s="612"/>
      <c r="C601" s="497">
        <v>500</v>
      </c>
      <c r="D601" s="498">
        <v>6.75</v>
      </c>
      <c r="E601" s="499">
        <v>0</v>
      </c>
      <c r="F601" s="499">
        <f t="shared" si="100"/>
        <v>3375</v>
      </c>
      <c r="G601" s="496">
        <v>42472</v>
      </c>
      <c r="H601" s="513">
        <v>500</v>
      </c>
      <c r="I601" s="498">
        <v>13.15</v>
      </c>
      <c r="J601" s="499">
        <v>0.14000000000000001</v>
      </c>
      <c r="K601" s="499">
        <f t="shared" si="99"/>
        <v>6574.86</v>
      </c>
      <c r="L601" s="497"/>
      <c r="M601" s="499"/>
    </row>
    <row r="602" spans="1:13" x14ac:dyDescent="0.25">
      <c r="A602" s="497"/>
      <c r="B602" s="612"/>
      <c r="C602" s="497">
        <v>300</v>
      </c>
      <c r="D602" s="498">
        <v>6.75</v>
      </c>
      <c r="E602" s="499">
        <v>0</v>
      </c>
      <c r="F602" s="499">
        <f t="shared" si="100"/>
        <v>2025</v>
      </c>
      <c r="G602" s="496">
        <v>42472</v>
      </c>
      <c r="H602" s="513">
        <v>500</v>
      </c>
      <c r="I602" s="498">
        <v>12.92</v>
      </c>
      <c r="J602" s="499">
        <v>0.14000000000000001</v>
      </c>
      <c r="K602" s="499">
        <f t="shared" si="99"/>
        <v>6459.86</v>
      </c>
      <c r="L602" s="497"/>
      <c r="M602" s="499"/>
    </row>
    <row r="603" spans="1:13" x14ac:dyDescent="0.25">
      <c r="A603" s="497"/>
      <c r="B603" s="545">
        <v>42426</v>
      </c>
      <c r="C603" s="497">
        <v>600</v>
      </c>
      <c r="D603" s="498">
        <v>7.63</v>
      </c>
      <c r="E603" s="499">
        <v>0</v>
      </c>
      <c r="F603" s="499">
        <f t="shared" si="100"/>
        <v>4578</v>
      </c>
      <c r="G603" s="496">
        <v>42472</v>
      </c>
      <c r="H603" s="513">
        <v>500</v>
      </c>
      <c r="I603" s="498">
        <v>12.59</v>
      </c>
      <c r="J603" s="499">
        <v>0.14000000000000001</v>
      </c>
      <c r="K603" s="499">
        <f t="shared" si="99"/>
        <v>6294.86</v>
      </c>
      <c r="L603" s="497"/>
      <c r="M603" s="499"/>
    </row>
    <row r="604" spans="1:13" x14ac:dyDescent="0.25">
      <c r="A604" s="497"/>
      <c r="B604" s="545">
        <v>42426</v>
      </c>
      <c r="C604" s="497">
        <v>2000</v>
      </c>
      <c r="D604" s="498">
        <v>7.95</v>
      </c>
      <c r="E604" s="499">
        <v>0</v>
      </c>
      <c r="F604" s="499">
        <f t="shared" si="100"/>
        <v>15900</v>
      </c>
      <c r="G604" s="496">
        <v>42474</v>
      </c>
      <c r="H604" s="513">
        <v>500</v>
      </c>
      <c r="I604" s="498">
        <v>13.18</v>
      </c>
      <c r="J604" s="499">
        <v>0.14000000000000001</v>
      </c>
      <c r="K604" s="499">
        <f t="shared" si="99"/>
        <v>6589.86</v>
      </c>
      <c r="L604" s="497"/>
      <c r="M604" s="499"/>
    </row>
    <row r="605" spans="1:13" x14ac:dyDescent="0.25">
      <c r="A605" s="497"/>
      <c r="B605" s="545">
        <v>42429</v>
      </c>
      <c r="C605" s="497">
        <v>2000</v>
      </c>
      <c r="D605" s="498">
        <v>8.1999999999999993</v>
      </c>
      <c r="E605" s="499">
        <v>0</v>
      </c>
      <c r="F605" s="499">
        <f t="shared" si="100"/>
        <v>16400</v>
      </c>
      <c r="G605" s="496">
        <v>42478</v>
      </c>
      <c r="H605" s="513">
        <v>500</v>
      </c>
      <c r="I605" s="498">
        <v>13.4</v>
      </c>
      <c r="J605" s="499">
        <v>0.15</v>
      </c>
      <c r="K605" s="499">
        <f t="shared" si="99"/>
        <v>6699.85</v>
      </c>
      <c r="L605" s="497"/>
      <c r="M605" s="499"/>
    </row>
    <row r="606" spans="1:13" x14ac:dyDescent="0.25">
      <c r="A606" s="499"/>
      <c r="B606" s="545">
        <v>42429</v>
      </c>
      <c r="C606" s="497">
        <v>500</v>
      </c>
      <c r="D606" s="498">
        <v>7.88</v>
      </c>
      <c r="E606" s="499">
        <v>0</v>
      </c>
      <c r="F606" s="499">
        <f t="shared" si="100"/>
        <v>3940</v>
      </c>
      <c r="G606" s="496">
        <v>42486</v>
      </c>
      <c r="H606" s="513">
        <v>500</v>
      </c>
      <c r="I606" s="498">
        <v>14.35</v>
      </c>
      <c r="J606" s="499">
        <v>0.16</v>
      </c>
      <c r="K606" s="499">
        <f t="shared" si="99"/>
        <v>7174.84</v>
      </c>
      <c r="L606" s="497"/>
      <c r="M606" s="499"/>
    </row>
    <row r="607" spans="1:13" x14ac:dyDescent="0.25">
      <c r="A607" s="497"/>
      <c r="B607" s="545">
        <v>42430</v>
      </c>
      <c r="C607" s="497">
        <v>1000</v>
      </c>
      <c r="D607" s="498">
        <v>7.77</v>
      </c>
      <c r="E607" s="499">
        <v>0</v>
      </c>
      <c r="F607" s="499">
        <f t="shared" si="100"/>
        <v>7770</v>
      </c>
      <c r="G607" s="496">
        <v>42487</v>
      </c>
      <c r="H607" s="513">
        <v>600</v>
      </c>
      <c r="I607" s="498">
        <v>14.85</v>
      </c>
      <c r="J607" s="499">
        <v>0.19</v>
      </c>
      <c r="K607" s="499">
        <f t="shared" si="99"/>
        <v>8909.81</v>
      </c>
      <c r="L607" s="497"/>
      <c r="M607" s="499"/>
    </row>
    <row r="608" spans="1:13" x14ac:dyDescent="0.25">
      <c r="A608" s="497"/>
      <c r="B608" s="545">
        <v>42430</v>
      </c>
      <c r="C608" s="497">
        <v>500</v>
      </c>
      <c r="D608" s="498">
        <v>7.94</v>
      </c>
      <c r="E608" s="499">
        <v>0</v>
      </c>
      <c r="F608" s="499">
        <f t="shared" si="100"/>
        <v>3970</v>
      </c>
      <c r="G608" s="496">
        <v>42489</v>
      </c>
      <c r="H608" s="513">
        <v>3000</v>
      </c>
      <c r="I608" s="498">
        <v>14.15</v>
      </c>
      <c r="J608" s="499">
        <v>0.93</v>
      </c>
      <c r="K608" s="499">
        <f t="shared" si="99"/>
        <v>42449.07</v>
      </c>
      <c r="L608" s="497"/>
      <c r="M608" s="499"/>
    </row>
    <row r="609" spans="1:13" x14ac:dyDescent="0.25">
      <c r="A609" s="497"/>
      <c r="B609" s="545">
        <v>42431</v>
      </c>
      <c r="C609" s="497">
        <v>1000</v>
      </c>
      <c r="D609" s="498">
        <v>8.3699999999999992</v>
      </c>
      <c r="E609" s="499">
        <v>0</v>
      </c>
      <c r="F609" s="499">
        <f t="shared" si="100"/>
        <v>8370</v>
      </c>
      <c r="G609" s="496">
        <v>42492</v>
      </c>
      <c r="H609" s="513">
        <v>1000</v>
      </c>
      <c r="I609" s="498">
        <v>13.48</v>
      </c>
      <c r="J609" s="499">
        <v>0.28999999999999998</v>
      </c>
      <c r="K609" s="499">
        <f t="shared" si="99"/>
        <v>13479.71</v>
      </c>
      <c r="L609" s="497"/>
      <c r="M609" s="499"/>
    </row>
    <row r="610" spans="1:13" x14ac:dyDescent="0.25">
      <c r="A610" s="497"/>
      <c r="B610" s="545">
        <v>42432</v>
      </c>
      <c r="C610" s="497">
        <v>600</v>
      </c>
      <c r="D610" s="498">
        <v>9.3699999999999992</v>
      </c>
      <c r="E610" s="499">
        <v>0</v>
      </c>
      <c r="F610" s="499">
        <f t="shared" si="100"/>
        <v>5621.9999999999991</v>
      </c>
      <c r="G610" s="496">
        <v>42492</v>
      </c>
      <c r="H610" s="513">
        <v>1000</v>
      </c>
      <c r="I610" s="498">
        <v>13.61</v>
      </c>
      <c r="J610" s="499">
        <v>0.3</v>
      </c>
      <c r="K610" s="499">
        <f t="shared" si="99"/>
        <v>13609.7</v>
      </c>
      <c r="L610" s="497"/>
      <c r="M610" s="499"/>
    </row>
    <row r="611" spans="1:13" x14ac:dyDescent="0.25">
      <c r="A611" s="497"/>
      <c r="B611" s="545">
        <v>42432</v>
      </c>
      <c r="C611" s="497">
        <v>600</v>
      </c>
      <c r="D611" s="498">
        <v>8.8800000000000008</v>
      </c>
      <c r="E611" s="499">
        <v>0</v>
      </c>
      <c r="F611" s="499">
        <f t="shared" si="100"/>
        <v>5328.0000000000009</v>
      </c>
      <c r="G611" s="496">
        <v>42493</v>
      </c>
      <c r="H611" s="513">
        <v>322</v>
      </c>
      <c r="I611" s="498">
        <v>13.28</v>
      </c>
      <c r="J611" s="499">
        <v>0.09</v>
      </c>
      <c r="K611" s="499">
        <f t="shared" si="99"/>
        <v>4276.07</v>
      </c>
      <c r="L611" s="497"/>
      <c r="M611" s="499"/>
    </row>
    <row r="612" spans="1:13" x14ac:dyDescent="0.25">
      <c r="A612" s="497"/>
      <c r="B612" s="545">
        <v>42433</v>
      </c>
      <c r="C612" s="497">
        <v>600</v>
      </c>
      <c r="D612" s="498">
        <v>10.42</v>
      </c>
      <c r="E612" s="499">
        <v>0</v>
      </c>
      <c r="F612" s="499">
        <f t="shared" si="100"/>
        <v>6252</v>
      </c>
      <c r="G612" s="496">
        <v>42495</v>
      </c>
      <c r="H612" s="513">
        <v>1000</v>
      </c>
      <c r="I612" s="498">
        <v>12.05</v>
      </c>
      <c r="J612" s="499">
        <v>0.26</v>
      </c>
      <c r="K612" s="499">
        <f t="shared" si="99"/>
        <v>12049.74</v>
      </c>
      <c r="L612" s="497"/>
      <c r="M612" s="499"/>
    </row>
    <row r="613" spans="1:13" x14ac:dyDescent="0.25">
      <c r="A613" s="497"/>
      <c r="B613" s="545">
        <v>42440</v>
      </c>
      <c r="C613" s="497">
        <v>400</v>
      </c>
      <c r="D613" s="498">
        <v>11.12</v>
      </c>
      <c r="E613" s="499">
        <v>0</v>
      </c>
      <c r="F613" s="499">
        <f t="shared" si="100"/>
        <v>4448</v>
      </c>
      <c r="G613" s="496">
        <v>42495</v>
      </c>
      <c r="H613" s="513">
        <v>2000</v>
      </c>
      <c r="I613" s="498">
        <v>12.63</v>
      </c>
      <c r="J613" s="499">
        <v>0.55000000000000004</v>
      </c>
      <c r="K613" s="499">
        <f t="shared" si="99"/>
        <v>25259.45</v>
      </c>
      <c r="L613" s="497"/>
      <c r="M613" s="499"/>
    </row>
    <row r="614" spans="1:13" x14ac:dyDescent="0.25">
      <c r="A614" s="497"/>
      <c r="B614" s="545">
        <v>42446</v>
      </c>
      <c r="C614" s="497">
        <v>1500</v>
      </c>
      <c r="D614" s="498">
        <v>11.445</v>
      </c>
      <c r="E614" s="499">
        <v>0</v>
      </c>
      <c r="F614" s="499">
        <f t="shared" si="100"/>
        <v>17167.5</v>
      </c>
      <c r="G614" s="496">
        <v>42500</v>
      </c>
      <c r="H614" s="513">
        <v>1000</v>
      </c>
      <c r="I614" s="498">
        <v>11.66</v>
      </c>
      <c r="J614" s="499">
        <v>5.25</v>
      </c>
      <c r="K614" s="499">
        <f t="shared" si="99"/>
        <v>11654.75</v>
      </c>
      <c r="L614" s="497"/>
      <c r="M614" s="499"/>
    </row>
    <row r="615" spans="1:13" x14ac:dyDescent="0.25">
      <c r="A615" s="497"/>
      <c r="B615" s="608">
        <v>42447</v>
      </c>
      <c r="C615" s="497">
        <v>1500</v>
      </c>
      <c r="D615" s="498">
        <v>11.42</v>
      </c>
      <c r="E615" s="499">
        <v>0</v>
      </c>
      <c r="F615" s="499">
        <f t="shared" si="100"/>
        <v>17130</v>
      </c>
      <c r="G615" s="496">
        <v>42502</v>
      </c>
      <c r="H615" s="513">
        <v>1500</v>
      </c>
      <c r="I615" s="498">
        <v>12.36</v>
      </c>
      <c r="J615" s="499">
        <v>0.4</v>
      </c>
      <c r="K615" s="499">
        <f t="shared" si="99"/>
        <v>18539.599999999999</v>
      </c>
      <c r="L615" s="497"/>
      <c r="M615" s="499"/>
    </row>
    <row r="616" spans="1:13" x14ac:dyDescent="0.25">
      <c r="A616" s="497"/>
      <c r="B616" s="613"/>
      <c r="C616" s="497">
        <v>500</v>
      </c>
      <c r="D616" s="498">
        <v>11.42</v>
      </c>
      <c r="E616" s="499">
        <v>0</v>
      </c>
      <c r="F616" s="499">
        <f t="shared" si="100"/>
        <v>5710</v>
      </c>
      <c r="G616" s="496">
        <v>42503</v>
      </c>
      <c r="H616" s="513">
        <v>500</v>
      </c>
      <c r="I616" s="498">
        <v>12.49</v>
      </c>
      <c r="J616" s="499">
        <v>0.14000000000000001</v>
      </c>
      <c r="K616" s="499">
        <f t="shared" si="99"/>
        <v>6244.86</v>
      </c>
      <c r="L616" s="497"/>
      <c r="M616" s="499"/>
    </row>
    <row r="617" spans="1:13" x14ac:dyDescent="0.25">
      <c r="A617" s="497"/>
      <c r="B617" s="545">
        <v>42447</v>
      </c>
      <c r="C617" s="497">
        <v>650</v>
      </c>
      <c r="D617" s="498">
        <v>11.545</v>
      </c>
      <c r="E617" s="499">
        <v>0.75</v>
      </c>
      <c r="F617" s="499">
        <f t="shared" si="100"/>
        <v>7505</v>
      </c>
      <c r="G617" s="496">
        <v>42506</v>
      </c>
      <c r="H617" s="513">
        <v>300</v>
      </c>
      <c r="I617" s="498">
        <v>12.85</v>
      </c>
      <c r="J617" s="499">
        <v>0.08</v>
      </c>
      <c r="K617" s="499">
        <f t="shared" si="99"/>
        <v>3854.92</v>
      </c>
      <c r="L617" s="497"/>
      <c r="M617" s="499"/>
    </row>
    <row r="618" spans="1:13" x14ac:dyDescent="0.25">
      <c r="A618" s="497"/>
      <c r="B618" s="545">
        <v>42450</v>
      </c>
      <c r="C618" s="497">
        <v>1350</v>
      </c>
      <c r="D618" s="498">
        <v>11.42</v>
      </c>
      <c r="E618" s="499">
        <v>0</v>
      </c>
      <c r="F618" s="499">
        <f t="shared" si="100"/>
        <v>15417</v>
      </c>
      <c r="G618" s="496">
        <v>42513</v>
      </c>
      <c r="H618" s="513">
        <v>500</v>
      </c>
      <c r="I618" s="498">
        <v>13.05</v>
      </c>
      <c r="J618" s="499">
        <v>0.14000000000000001</v>
      </c>
      <c r="K618" s="499">
        <f t="shared" si="99"/>
        <v>6524.86</v>
      </c>
      <c r="L618" s="497"/>
      <c r="M618" s="499"/>
    </row>
    <row r="619" spans="1:13" x14ac:dyDescent="0.25">
      <c r="A619" s="497"/>
      <c r="B619" s="545">
        <v>42451</v>
      </c>
      <c r="C619" s="497">
        <v>1000</v>
      </c>
      <c r="D619" s="498">
        <v>11.38</v>
      </c>
      <c r="E619" s="499">
        <v>0</v>
      </c>
      <c r="F619" s="499">
        <f t="shared" si="100"/>
        <v>11380</v>
      </c>
      <c r="G619" s="496">
        <v>42515</v>
      </c>
      <c r="H619" s="513">
        <v>500</v>
      </c>
      <c r="I619" s="498">
        <v>13.59</v>
      </c>
      <c r="J619" s="499">
        <v>0.15</v>
      </c>
      <c r="K619" s="499">
        <f t="shared" si="99"/>
        <v>6794.85</v>
      </c>
      <c r="L619" s="497"/>
      <c r="M619" s="499"/>
    </row>
    <row r="620" spans="1:13" x14ac:dyDescent="0.25">
      <c r="A620" s="497"/>
      <c r="B620" s="608">
        <v>42451</v>
      </c>
      <c r="C620" s="497">
        <v>50</v>
      </c>
      <c r="D620" s="498">
        <v>11.22</v>
      </c>
      <c r="E620" s="499">
        <v>0</v>
      </c>
      <c r="F620" s="499">
        <f t="shared" si="100"/>
        <v>561</v>
      </c>
      <c r="G620" s="496">
        <v>42515</v>
      </c>
      <c r="H620" s="513">
        <v>500</v>
      </c>
      <c r="I620" s="498">
        <v>13.57</v>
      </c>
      <c r="J620" s="499">
        <v>0.15</v>
      </c>
      <c r="K620" s="499">
        <f t="shared" si="99"/>
        <v>6784.85</v>
      </c>
      <c r="L620" s="497"/>
      <c r="M620" s="499"/>
    </row>
    <row r="621" spans="1:13" x14ac:dyDescent="0.25">
      <c r="A621" s="497"/>
      <c r="B621" s="608"/>
      <c r="C621" s="497">
        <v>350</v>
      </c>
      <c r="D621" s="498">
        <v>11.22</v>
      </c>
      <c r="E621" s="499">
        <v>0</v>
      </c>
      <c r="F621" s="499">
        <f t="shared" si="100"/>
        <v>3927</v>
      </c>
      <c r="G621" s="496">
        <v>42517</v>
      </c>
      <c r="H621" s="513">
        <v>500</v>
      </c>
      <c r="I621" s="498">
        <v>12.87</v>
      </c>
      <c r="J621" s="499">
        <v>0.14000000000000001</v>
      </c>
      <c r="K621" s="499">
        <f t="shared" si="99"/>
        <v>6434.86</v>
      </c>
      <c r="L621" s="497"/>
      <c r="M621" s="499"/>
    </row>
    <row r="622" spans="1:13" ht="45" x14ac:dyDescent="0.25">
      <c r="A622" s="497"/>
      <c r="B622" s="612" t="s">
        <v>192</v>
      </c>
      <c r="C622" s="497">
        <v>650</v>
      </c>
      <c r="D622" s="498">
        <v>11.22</v>
      </c>
      <c r="E622" s="499">
        <v>0</v>
      </c>
      <c r="F622" s="499">
        <f t="shared" si="100"/>
        <v>7293</v>
      </c>
      <c r="G622" s="496">
        <v>42524</v>
      </c>
      <c r="H622" s="513">
        <v>400</v>
      </c>
      <c r="I622" s="498">
        <v>13.38</v>
      </c>
      <c r="J622" s="499">
        <v>0.12</v>
      </c>
      <c r="K622" s="499">
        <f t="shared" si="99"/>
        <v>5351.88</v>
      </c>
      <c r="L622" s="497"/>
      <c r="M622" s="499"/>
    </row>
    <row r="623" spans="1:13" x14ac:dyDescent="0.25">
      <c r="A623" s="497"/>
      <c r="B623" s="612"/>
      <c r="C623" s="497">
        <v>500</v>
      </c>
      <c r="D623" s="498">
        <v>11.01</v>
      </c>
      <c r="E623" s="499">
        <v>0</v>
      </c>
      <c r="F623" s="499">
        <f t="shared" si="100"/>
        <v>5505</v>
      </c>
      <c r="G623" s="496">
        <v>42527</v>
      </c>
      <c r="H623" s="513">
        <v>1000</v>
      </c>
      <c r="I623" s="498">
        <v>13.82</v>
      </c>
      <c r="J623" s="499">
        <v>0.3</v>
      </c>
      <c r="K623" s="499">
        <f t="shared" si="99"/>
        <v>13819.7</v>
      </c>
      <c r="L623" s="497"/>
      <c r="M623" s="499"/>
    </row>
    <row r="624" spans="1:13" x14ac:dyDescent="0.25">
      <c r="A624" s="497"/>
      <c r="B624" s="612"/>
      <c r="C624" s="497">
        <v>500</v>
      </c>
      <c r="D624" s="498">
        <v>10.75</v>
      </c>
      <c r="E624" s="499">
        <v>0</v>
      </c>
      <c r="F624" s="499">
        <f t="shared" si="100"/>
        <v>5375</v>
      </c>
      <c r="G624" s="496">
        <v>42527</v>
      </c>
      <c r="H624" s="513">
        <v>500</v>
      </c>
      <c r="I624" s="498">
        <v>13.97</v>
      </c>
      <c r="J624" s="499">
        <v>1.1499999999999999</v>
      </c>
      <c r="K624" s="499">
        <f t="shared" si="99"/>
        <v>6983.85</v>
      </c>
      <c r="L624" s="497"/>
      <c r="M624" s="499"/>
    </row>
    <row r="625" spans="1:13" x14ac:dyDescent="0.25">
      <c r="A625" s="497"/>
      <c r="B625" s="612"/>
      <c r="C625" s="497">
        <v>1000</v>
      </c>
      <c r="D625" s="498">
        <v>10.4</v>
      </c>
      <c r="E625" s="499">
        <v>0</v>
      </c>
      <c r="F625" s="499">
        <f t="shared" si="100"/>
        <v>10400</v>
      </c>
      <c r="G625" s="496">
        <v>42528</v>
      </c>
      <c r="H625" s="513">
        <v>500</v>
      </c>
      <c r="I625" s="498">
        <v>14.65</v>
      </c>
      <c r="J625" s="499">
        <v>0.16</v>
      </c>
      <c r="K625" s="499">
        <f t="shared" si="99"/>
        <v>7324.84</v>
      </c>
      <c r="L625" s="497"/>
      <c r="M625" s="499"/>
    </row>
    <row r="626" spans="1:13" x14ac:dyDescent="0.25">
      <c r="A626" s="497"/>
      <c r="B626" s="612"/>
      <c r="C626" s="497">
        <v>1000</v>
      </c>
      <c r="D626" s="498">
        <v>10.185</v>
      </c>
      <c r="E626" s="499">
        <v>0</v>
      </c>
      <c r="F626" s="499">
        <f t="shared" si="100"/>
        <v>10185</v>
      </c>
      <c r="G626" s="496">
        <v>42536</v>
      </c>
      <c r="H626" s="513">
        <v>400</v>
      </c>
      <c r="I626" s="498">
        <v>13.43</v>
      </c>
      <c r="J626" s="499">
        <v>0.12</v>
      </c>
      <c r="K626" s="499">
        <f t="shared" si="99"/>
        <v>5371.88</v>
      </c>
      <c r="L626" s="497"/>
      <c r="M626" s="499"/>
    </row>
    <row r="627" spans="1:13" x14ac:dyDescent="0.25">
      <c r="A627" s="497"/>
      <c r="B627" s="545">
        <v>42461</v>
      </c>
      <c r="C627" s="497">
        <v>2000</v>
      </c>
      <c r="D627" s="498">
        <v>10.43</v>
      </c>
      <c r="E627" s="499">
        <v>0</v>
      </c>
      <c r="F627" s="499">
        <f t="shared" si="100"/>
        <v>20860</v>
      </c>
      <c r="G627" s="496">
        <v>42537</v>
      </c>
      <c r="H627" s="513">
        <v>400</v>
      </c>
      <c r="I627" s="498">
        <v>12.69</v>
      </c>
      <c r="J627" s="499">
        <v>0.11</v>
      </c>
      <c r="K627" s="499">
        <f t="shared" si="99"/>
        <v>5075.8900000000003</v>
      </c>
      <c r="L627" s="497"/>
      <c r="M627" s="499"/>
    </row>
    <row r="628" spans="1:13" x14ac:dyDescent="0.25">
      <c r="A628" s="497"/>
      <c r="B628" s="545">
        <v>42461</v>
      </c>
      <c r="C628" s="497">
        <v>2000</v>
      </c>
      <c r="D628" s="498">
        <v>10.42</v>
      </c>
      <c r="E628" s="499">
        <v>0</v>
      </c>
      <c r="F628" s="499">
        <f t="shared" si="100"/>
        <v>20840</v>
      </c>
      <c r="G628" s="496">
        <v>42538</v>
      </c>
      <c r="H628" s="513">
        <v>500</v>
      </c>
      <c r="I628" s="498">
        <v>13.34</v>
      </c>
      <c r="J628" s="499">
        <v>0.15</v>
      </c>
      <c r="K628" s="499">
        <f t="shared" si="99"/>
        <v>6669.85</v>
      </c>
      <c r="L628" s="497"/>
      <c r="M628" s="499"/>
    </row>
    <row r="629" spans="1:13" ht="45" x14ac:dyDescent="0.25">
      <c r="A629" s="497"/>
      <c r="B629" s="545">
        <v>42465</v>
      </c>
      <c r="C629" s="497">
        <v>100</v>
      </c>
      <c r="D629" s="498">
        <v>10.4</v>
      </c>
      <c r="E629" s="499">
        <v>0</v>
      </c>
      <c r="F629" s="499">
        <f t="shared" si="100"/>
        <v>1040</v>
      </c>
      <c r="G629" s="614" t="s">
        <v>217</v>
      </c>
      <c r="H629" s="513">
        <v>500</v>
      </c>
      <c r="I629" s="498">
        <v>13.91</v>
      </c>
      <c r="J629" s="499">
        <v>0.15</v>
      </c>
      <c r="K629" s="499">
        <f t="shared" si="99"/>
        <v>6954.85</v>
      </c>
      <c r="L629" s="497"/>
      <c r="M629" s="499"/>
    </row>
    <row r="630" spans="1:13" x14ac:dyDescent="0.25">
      <c r="A630" s="497"/>
      <c r="B630" s="545">
        <v>42471</v>
      </c>
      <c r="C630" s="497">
        <v>500</v>
      </c>
      <c r="D630" s="498">
        <v>11.77</v>
      </c>
      <c r="E630" s="499">
        <v>0</v>
      </c>
      <c r="F630" s="499">
        <f t="shared" si="100"/>
        <v>5885</v>
      </c>
      <c r="G630" s="614"/>
      <c r="H630" s="513">
        <v>600</v>
      </c>
      <c r="I630" s="498">
        <v>14.36</v>
      </c>
      <c r="J630" s="499">
        <v>0.19</v>
      </c>
      <c r="K630" s="499">
        <f t="shared" si="99"/>
        <v>8615.81</v>
      </c>
      <c r="L630" s="497"/>
      <c r="M630" s="499"/>
    </row>
    <row r="631" spans="1:13" x14ac:dyDescent="0.25">
      <c r="A631" s="497"/>
      <c r="B631" s="545">
        <v>42471</v>
      </c>
      <c r="C631" s="497">
        <v>500</v>
      </c>
      <c r="D631" s="498">
        <v>11.55</v>
      </c>
      <c r="E631" s="499">
        <v>0</v>
      </c>
      <c r="F631" s="499">
        <f t="shared" si="100"/>
        <v>5775</v>
      </c>
      <c r="G631" s="614"/>
      <c r="H631" s="513">
        <v>500</v>
      </c>
      <c r="I631" s="498">
        <v>14.65</v>
      </c>
      <c r="J631" s="499">
        <v>0.16</v>
      </c>
      <c r="K631" s="499">
        <f t="shared" si="99"/>
        <v>7324.84</v>
      </c>
      <c r="L631" s="497"/>
      <c r="M631" s="499"/>
    </row>
    <row r="632" spans="1:13" x14ac:dyDescent="0.25">
      <c r="A632" s="497"/>
      <c r="B632" s="545">
        <v>42472</v>
      </c>
      <c r="C632" s="497">
        <v>610</v>
      </c>
      <c r="D632" s="498">
        <v>12.95</v>
      </c>
      <c r="E632" s="499">
        <v>0</v>
      </c>
      <c r="F632" s="499">
        <f t="shared" si="100"/>
        <v>7899.5</v>
      </c>
      <c r="G632" s="496">
        <v>42542</v>
      </c>
      <c r="H632" s="513">
        <v>500</v>
      </c>
      <c r="I632" s="498">
        <v>14.95</v>
      </c>
      <c r="J632" s="499">
        <v>0.16</v>
      </c>
      <c r="K632" s="499">
        <f t="shared" si="99"/>
        <v>7474.84</v>
      </c>
      <c r="L632" s="497"/>
      <c r="M632" s="499"/>
    </row>
    <row r="633" spans="1:13" x14ac:dyDescent="0.25">
      <c r="A633" s="497"/>
      <c r="B633" s="545">
        <v>42473</v>
      </c>
      <c r="C633" s="497">
        <v>970</v>
      </c>
      <c r="D633" s="498">
        <v>12.76</v>
      </c>
      <c r="E633" s="499">
        <v>4.0999999999999996</v>
      </c>
      <c r="F633" s="499">
        <f t="shared" si="100"/>
        <v>12381.3</v>
      </c>
      <c r="G633" s="496">
        <v>42542</v>
      </c>
      <c r="H633" s="513">
        <v>378</v>
      </c>
      <c r="I633" s="498">
        <v>15.2</v>
      </c>
      <c r="J633" s="499">
        <v>0.13</v>
      </c>
      <c r="K633" s="499">
        <f t="shared" si="99"/>
        <v>5745.4699999999993</v>
      </c>
      <c r="L633" s="497"/>
      <c r="M633" s="499"/>
    </row>
    <row r="634" spans="1:13" x14ac:dyDescent="0.25">
      <c r="A634" s="497"/>
      <c r="B634" s="545">
        <v>42474</v>
      </c>
      <c r="C634" s="497">
        <v>420</v>
      </c>
      <c r="D634" s="498">
        <v>12.755000000000001</v>
      </c>
      <c r="E634" s="499">
        <v>0.34</v>
      </c>
      <c r="F634" s="499">
        <f t="shared" si="100"/>
        <v>5357.4400000000005</v>
      </c>
      <c r="G634" s="497"/>
      <c r="H634" s="513"/>
      <c r="I634" s="498"/>
      <c r="J634" s="499"/>
      <c r="K634" s="499"/>
      <c r="L634" s="497"/>
      <c r="M634" s="499"/>
    </row>
    <row r="635" spans="1:13" x14ac:dyDescent="0.25">
      <c r="A635" s="497"/>
      <c r="B635" s="545">
        <v>42475</v>
      </c>
      <c r="C635" s="497">
        <v>500</v>
      </c>
      <c r="D635" s="498">
        <v>13.02</v>
      </c>
      <c r="E635" s="499">
        <v>-1.75</v>
      </c>
      <c r="F635" s="499">
        <f t="shared" si="100"/>
        <v>6508.25</v>
      </c>
      <c r="G635" s="497"/>
      <c r="H635" s="513"/>
      <c r="I635" s="498"/>
      <c r="J635" s="499"/>
      <c r="K635" s="499"/>
      <c r="L635" s="497"/>
      <c r="M635" s="499"/>
    </row>
    <row r="636" spans="1:13" x14ac:dyDescent="0.25">
      <c r="A636" s="497"/>
      <c r="B636" s="545">
        <v>42485</v>
      </c>
      <c r="C636" s="497">
        <v>500</v>
      </c>
      <c r="D636" s="498">
        <v>13.95</v>
      </c>
      <c r="E636" s="499">
        <v>0</v>
      </c>
      <c r="F636" s="499">
        <f t="shared" si="100"/>
        <v>6975</v>
      </c>
      <c r="G636" s="497"/>
      <c r="H636" s="513"/>
      <c r="I636" s="498"/>
      <c r="J636" s="499"/>
      <c r="K636" s="499"/>
      <c r="L636" s="497"/>
      <c r="M636" s="499"/>
    </row>
    <row r="637" spans="1:13" x14ac:dyDescent="0.25">
      <c r="A637" s="497"/>
      <c r="B637" s="545">
        <v>42487</v>
      </c>
      <c r="C637" s="497">
        <v>600</v>
      </c>
      <c r="D637" s="498">
        <v>14.63</v>
      </c>
      <c r="E637" s="499">
        <v>0</v>
      </c>
      <c r="F637" s="499">
        <f t="shared" si="100"/>
        <v>8778</v>
      </c>
      <c r="G637" s="497"/>
      <c r="H637" s="513"/>
      <c r="I637" s="498"/>
      <c r="J637" s="499"/>
      <c r="K637" s="499"/>
      <c r="L637" s="497"/>
      <c r="M637" s="499"/>
    </row>
    <row r="638" spans="1:13" x14ac:dyDescent="0.25">
      <c r="A638" s="497"/>
      <c r="B638" s="545">
        <v>42488</v>
      </c>
      <c r="C638" s="497">
        <v>500</v>
      </c>
      <c r="D638" s="498">
        <v>14.52</v>
      </c>
      <c r="E638" s="499">
        <v>0</v>
      </c>
      <c r="F638" s="499">
        <f t="shared" si="100"/>
        <v>7260</v>
      </c>
      <c r="G638" s="497"/>
      <c r="H638" s="513"/>
      <c r="I638" s="498"/>
      <c r="J638" s="499"/>
      <c r="K638" s="499"/>
      <c r="L638" s="497"/>
      <c r="M638" s="499"/>
    </row>
    <row r="639" spans="1:13" ht="30" x14ac:dyDescent="0.25">
      <c r="A639" s="615" t="s">
        <v>197</v>
      </c>
      <c r="B639" s="545">
        <v>42489</v>
      </c>
      <c r="C639" s="497">
        <v>500</v>
      </c>
      <c r="D639" s="498">
        <v>14.35</v>
      </c>
      <c r="E639" s="499">
        <v>0</v>
      </c>
      <c r="F639" s="499">
        <f t="shared" si="100"/>
        <v>7175</v>
      </c>
      <c r="G639" s="497"/>
      <c r="H639" s="513"/>
      <c r="I639" s="498"/>
      <c r="J639" s="499"/>
      <c r="K639" s="499"/>
      <c r="L639" s="497"/>
      <c r="M639" s="499"/>
    </row>
    <row r="640" spans="1:13" x14ac:dyDescent="0.25">
      <c r="A640" s="615"/>
      <c r="B640" s="545">
        <v>42489</v>
      </c>
      <c r="C640" s="497">
        <v>500</v>
      </c>
      <c r="D640" s="498">
        <v>14.15</v>
      </c>
      <c r="E640" s="499">
        <v>0</v>
      </c>
      <c r="F640" s="499">
        <f t="shared" si="100"/>
        <v>7075</v>
      </c>
      <c r="G640" s="497"/>
      <c r="H640" s="513"/>
      <c r="I640" s="498"/>
      <c r="J640" s="499"/>
      <c r="K640" s="499"/>
      <c r="L640" s="497"/>
      <c r="M640" s="499"/>
    </row>
    <row r="641" spans="1:13" x14ac:dyDescent="0.25">
      <c r="A641" s="615"/>
      <c r="B641" s="545">
        <v>42489</v>
      </c>
      <c r="C641" s="497">
        <v>1000</v>
      </c>
      <c r="D641" s="498">
        <v>13.92</v>
      </c>
      <c r="E641" s="499">
        <v>0</v>
      </c>
      <c r="F641" s="499">
        <f t="shared" si="100"/>
        <v>13920</v>
      </c>
      <c r="G641" s="497"/>
      <c r="H641" s="513"/>
      <c r="I641" s="498"/>
      <c r="J641" s="499"/>
      <c r="K641" s="499"/>
      <c r="L641" s="497"/>
      <c r="M641" s="499"/>
    </row>
    <row r="642" spans="1:13" x14ac:dyDescent="0.25">
      <c r="A642" s="615"/>
      <c r="B642" s="545">
        <v>42489</v>
      </c>
      <c r="C642" s="497">
        <v>1000</v>
      </c>
      <c r="D642" s="498">
        <v>13.8</v>
      </c>
      <c r="E642" s="499">
        <v>0</v>
      </c>
      <c r="F642" s="499">
        <f t="shared" si="100"/>
        <v>13800</v>
      </c>
      <c r="G642" s="497"/>
      <c r="H642" s="513"/>
      <c r="I642" s="498"/>
      <c r="J642" s="499"/>
      <c r="K642" s="499"/>
      <c r="L642" s="497"/>
      <c r="M642" s="499"/>
    </row>
    <row r="643" spans="1:13" x14ac:dyDescent="0.25">
      <c r="A643" s="497"/>
      <c r="B643" s="545">
        <v>42492</v>
      </c>
      <c r="C643" s="497">
        <v>1500</v>
      </c>
      <c r="D643" s="498">
        <v>13.25</v>
      </c>
      <c r="E643" s="499">
        <v>0</v>
      </c>
      <c r="F643" s="499">
        <f t="shared" si="100"/>
        <v>19875</v>
      </c>
      <c r="G643" s="497"/>
      <c r="H643" s="513"/>
      <c r="I643" s="498"/>
      <c r="J643" s="499"/>
      <c r="K643" s="499"/>
      <c r="L643" s="497"/>
      <c r="M643" s="499"/>
    </row>
    <row r="644" spans="1:13" x14ac:dyDescent="0.25">
      <c r="A644" s="497"/>
      <c r="B644" s="545">
        <v>42492</v>
      </c>
      <c r="C644" s="497">
        <v>500</v>
      </c>
      <c r="D644" s="498">
        <v>13.6</v>
      </c>
      <c r="E644" s="499">
        <v>0</v>
      </c>
      <c r="F644" s="499">
        <f t="shared" si="100"/>
        <v>6800</v>
      </c>
      <c r="G644" s="497"/>
      <c r="H644" s="513"/>
      <c r="I644" s="498"/>
      <c r="J644" s="499"/>
      <c r="K644" s="499"/>
      <c r="L644" s="497"/>
      <c r="M644" s="499"/>
    </row>
    <row r="645" spans="1:13" x14ac:dyDescent="0.25">
      <c r="A645" s="497"/>
      <c r="B645" s="545">
        <v>42493</v>
      </c>
      <c r="C645" s="497">
        <v>322</v>
      </c>
      <c r="D645" s="498">
        <v>12.85</v>
      </c>
      <c r="E645" s="499">
        <v>0</v>
      </c>
      <c r="F645" s="499">
        <f t="shared" si="100"/>
        <v>4137.7</v>
      </c>
      <c r="G645" s="497"/>
      <c r="H645" s="513"/>
      <c r="I645" s="498"/>
      <c r="J645" s="499"/>
      <c r="K645" s="499"/>
      <c r="L645" s="497"/>
      <c r="M645" s="499"/>
    </row>
    <row r="646" spans="1:13" ht="30" x14ac:dyDescent="0.25">
      <c r="A646" s="599" t="s">
        <v>200</v>
      </c>
      <c r="B646" s="545">
        <v>42494</v>
      </c>
      <c r="C646" s="497">
        <v>1000</v>
      </c>
      <c r="D646" s="498">
        <v>12.25</v>
      </c>
      <c r="E646" s="499">
        <v>0</v>
      </c>
      <c r="F646" s="499">
        <f t="shared" si="100"/>
        <v>12250</v>
      </c>
      <c r="G646" s="497"/>
      <c r="H646" s="513"/>
      <c r="I646" s="498"/>
      <c r="J646" s="499"/>
      <c r="K646" s="499"/>
      <c r="L646" s="497"/>
      <c r="M646" s="499"/>
    </row>
    <row r="647" spans="1:13" x14ac:dyDescent="0.25">
      <c r="A647" s="599"/>
      <c r="B647" s="545">
        <v>42494</v>
      </c>
      <c r="C647" s="497">
        <v>500</v>
      </c>
      <c r="D647" s="498">
        <v>12.53</v>
      </c>
      <c r="E647" s="499">
        <v>0</v>
      </c>
      <c r="F647" s="499">
        <f t="shared" si="100"/>
        <v>6265</v>
      </c>
      <c r="G647" s="497"/>
      <c r="H647" s="513"/>
      <c r="I647" s="498"/>
      <c r="J647" s="499"/>
      <c r="K647" s="499"/>
      <c r="L647" s="497"/>
      <c r="M647" s="499"/>
    </row>
    <row r="648" spans="1:13" x14ac:dyDescent="0.25">
      <c r="A648" s="599"/>
      <c r="B648" s="545">
        <v>42494</v>
      </c>
      <c r="C648" s="497">
        <v>500</v>
      </c>
      <c r="D648" s="498">
        <v>12.65</v>
      </c>
      <c r="E648" s="499">
        <v>0</v>
      </c>
      <c r="F648" s="499">
        <f t="shared" si="100"/>
        <v>6325</v>
      </c>
      <c r="G648" s="497"/>
      <c r="H648" s="513"/>
      <c r="I648" s="498"/>
      <c r="J648" s="499"/>
      <c r="K648" s="499"/>
      <c r="L648" s="497"/>
      <c r="M648" s="499"/>
    </row>
    <row r="649" spans="1:13" x14ac:dyDescent="0.25">
      <c r="A649" s="497"/>
      <c r="B649" s="545">
        <v>42495</v>
      </c>
      <c r="C649" s="497">
        <v>1000</v>
      </c>
      <c r="D649" s="498">
        <v>11.95</v>
      </c>
      <c r="E649" s="499">
        <v>0</v>
      </c>
      <c r="F649" s="499">
        <f t="shared" si="100"/>
        <v>11950</v>
      </c>
      <c r="G649" s="497"/>
      <c r="H649" s="513"/>
      <c r="I649" s="498"/>
      <c r="J649" s="499"/>
      <c r="K649" s="499"/>
      <c r="L649" s="497"/>
      <c r="M649" s="499"/>
    </row>
    <row r="650" spans="1:13" x14ac:dyDescent="0.25">
      <c r="A650" s="497"/>
      <c r="B650" s="545">
        <v>42499</v>
      </c>
      <c r="C650" s="497">
        <v>500</v>
      </c>
      <c r="D650" s="498">
        <v>11.48</v>
      </c>
      <c r="E650" s="499">
        <v>0</v>
      </c>
      <c r="F650" s="499">
        <f t="shared" si="100"/>
        <v>5740</v>
      </c>
      <c r="G650" s="497"/>
      <c r="H650" s="513"/>
      <c r="I650" s="498"/>
      <c r="J650" s="499"/>
      <c r="K650" s="499"/>
      <c r="L650" s="497"/>
      <c r="M650" s="499"/>
    </row>
    <row r="651" spans="1:13" x14ac:dyDescent="0.25">
      <c r="A651" s="497"/>
      <c r="B651" s="545">
        <v>42499</v>
      </c>
      <c r="C651" s="497">
        <v>500</v>
      </c>
      <c r="D651" s="498">
        <v>11.32</v>
      </c>
      <c r="E651" s="499">
        <v>0</v>
      </c>
      <c r="F651" s="499">
        <f t="shared" si="100"/>
        <v>5660</v>
      </c>
      <c r="G651" s="497"/>
      <c r="H651" s="513"/>
      <c r="I651" s="498"/>
      <c r="J651" s="499"/>
      <c r="K651" s="499"/>
      <c r="L651" s="497"/>
      <c r="M651" s="499"/>
    </row>
    <row r="652" spans="1:13" ht="30" x14ac:dyDescent="0.25">
      <c r="A652" s="615" t="s">
        <v>203</v>
      </c>
      <c r="B652" s="545">
        <v>42502</v>
      </c>
      <c r="C652" s="497">
        <v>500</v>
      </c>
      <c r="D652" s="498">
        <v>12.38</v>
      </c>
      <c r="E652" s="499">
        <v>0</v>
      </c>
      <c r="F652" s="499">
        <f t="shared" si="100"/>
        <v>6190</v>
      </c>
      <c r="G652" s="497"/>
      <c r="H652" s="513"/>
      <c r="I652" s="498"/>
      <c r="J652" s="499"/>
      <c r="K652" s="499"/>
      <c r="L652" s="497"/>
      <c r="M652" s="499"/>
    </row>
    <row r="653" spans="1:13" x14ac:dyDescent="0.25">
      <c r="A653" s="615"/>
      <c r="B653" s="545">
        <v>42502</v>
      </c>
      <c r="C653" s="497">
        <v>500</v>
      </c>
      <c r="D653" s="498">
        <v>12.3</v>
      </c>
      <c r="E653" s="499">
        <v>0</v>
      </c>
      <c r="F653" s="499">
        <f t="shared" si="100"/>
        <v>6150</v>
      </c>
      <c r="G653" s="497"/>
      <c r="H653" s="513"/>
      <c r="I653" s="498"/>
      <c r="J653" s="499"/>
      <c r="K653" s="499"/>
      <c r="L653" s="497"/>
      <c r="M653" s="499"/>
    </row>
    <row r="654" spans="1:13" x14ac:dyDescent="0.25">
      <c r="A654" s="615"/>
      <c r="B654" s="545">
        <v>42502</v>
      </c>
      <c r="C654" s="497">
        <v>500</v>
      </c>
      <c r="D654" s="498">
        <v>12.23</v>
      </c>
      <c r="E654" s="499">
        <v>0</v>
      </c>
      <c r="F654" s="499">
        <f t="shared" si="100"/>
        <v>6115</v>
      </c>
      <c r="G654" s="497"/>
      <c r="H654" s="513"/>
      <c r="I654" s="498"/>
      <c r="J654" s="499"/>
      <c r="K654" s="499"/>
      <c r="L654" s="497"/>
      <c r="M654" s="499"/>
    </row>
    <row r="655" spans="1:13" x14ac:dyDescent="0.25">
      <c r="A655" s="497"/>
      <c r="B655" s="545">
        <v>42503</v>
      </c>
      <c r="C655" s="497">
        <v>500</v>
      </c>
      <c r="D655" s="498">
        <v>12.41</v>
      </c>
      <c r="E655" s="499">
        <v>0</v>
      </c>
      <c r="F655" s="499">
        <f t="shared" si="100"/>
        <v>6205</v>
      </c>
      <c r="G655" s="497"/>
      <c r="H655" s="513"/>
      <c r="I655" s="498"/>
      <c r="J655" s="499"/>
      <c r="K655" s="499"/>
      <c r="L655" s="497"/>
      <c r="M655" s="499"/>
    </row>
    <row r="656" spans="1:13" x14ac:dyDescent="0.25">
      <c r="A656" s="497"/>
      <c r="B656" s="545">
        <v>42506</v>
      </c>
      <c r="C656" s="497">
        <v>300</v>
      </c>
      <c r="D656" s="498">
        <v>12.8</v>
      </c>
      <c r="E656" s="499">
        <v>0</v>
      </c>
      <c r="F656" s="499">
        <f t="shared" si="100"/>
        <v>3840</v>
      </c>
      <c r="G656" s="497"/>
      <c r="H656" s="513"/>
      <c r="I656" s="498"/>
      <c r="J656" s="499"/>
      <c r="K656" s="499"/>
      <c r="L656" s="497"/>
      <c r="M656" s="499"/>
    </row>
    <row r="657" spans="1:13" x14ac:dyDescent="0.25">
      <c r="A657" s="497"/>
      <c r="B657" s="545">
        <v>42514</v>
      </c>
      <c r="C657" s="497">
        <v>500</v>
      </c>
      <c r="D657" s="498">
        <v>13.02</v>
      </c>
      <c r="E657" s="499">
        <v>-1.65</v>
      </c>
      <c r="F657" s="499">
        <f t="shared" ref="F657:F720" si="101">C657*D657+E657</f>
        <v>6508.35</v>
      </c>
      <c r="G657" s="497"/>
      <c r="H657" s="513"/>
      <c r="I657" s="498"/>
      <c r="J657" s="499"/>
      <c r="K657" s="499"/>
      <c r="L657" s="497"/>
      <c r="M657" s="499"/>
    </row>
    <row r="658" spans="1:13" x14ac:dyDescent="0.25">
      <c r="A658" s="497"/>
      <c r="B658" s="545">
        <v>42515</v>
      </c>
      <c r="C658" s="497">
        <v>500</v>
      </c>
      <c r="D658" s="498">
        <v>13.45</v>
      </c>
      <c r="E658" s="499">
        <v>1</v>
      </c>
      <c r="F658" s="499">
        <f t="shared" si="101"/>
        <v>6726</v>
      </c>
      <c r="G658" s="497"/>
      <c r="H658" s="513"/>
      <c r="I658" s="498"/>
      <c r="J658" s="499"/>
      <c r="K658" s="499"/>
      <c r="L658" s="497"/>
      <c r="M658" s="499"/>
    </row>
    <row r="659" spans="1:13" x14ac:dyDescent="0.25">
      <c r="A659" s="497"/>
      <c r="B659" s="545">
        <v>42516</v>
      </c>
      <c r="C659" s="497">
        <v>500</v>
      </c>
      <c r="D659" s="498">
        <v>13.28</v>
      </c>
      <c r="E659" s="499">
        <v>-1.04</v>
      </c>
      <c r="F659" s="499">
        <f t="shared" si="101"/>
        <v>6638.96</v>
      </c>
      <c r="G659" s="497"/>
      <c r="H659" s="513"/>
      <c r="I659" s="498"/>
      <c r="J659" s="499"/>
      <c r="K659" s="499"/>
      <c r="L659" s="497"/>
      <c r="M659" s="499"/>
    </row>
    <row r="660" spans="1:13" x14ac:dyDescent="0.25">
      <c r="A660" s="497"/>
      <c r="B660" s="545">
        <v>42517</v>
      </c>
      <c r="C660" s="497">
        <v>500</v>
      </c>
      <c r="D660" s="498">
        <v>12.79</v>
      </c>
      <c r="E660" s="499">
        <v>0</v>
      </c>
      <c r="F660" s="499">
        <f t="shared" si="101"/>
        <v>6395</v>
      </c>
      <c r="G660" s="497"/>
      <c r="H660" s="513"/>
      <c r="I660" s="498"/>
      <c r="J660" s="499"/>
      <c r="K660" s="499"/>
      <c r="L660" s="497"/>
      <c r="M660" s="499"/>
    </row>
    <row r="661" spans="1:13" x14ac:dyDescent="0.25">
      <c r="A661" s="497"/>
      <c r="B661" s="545">
        <v>42524</v>
      </c>
      <c r="C661" s="497">
        <v>400</v>
      </c>
      <c r="D661" s="498">
        <v>13.28</v>
      </c>
      <c r="E661" s="499">
        <v>0</v>
      </c>
      <c r="F661" s="499">
        <f t="shared" si="101"/>
        <v>5312</v>
      </c>
      <c r="G661" s="497"/>
      <c r="H661" s="513"/>
      <c r="I661" s="498"/>
      <c r="J661" s="499"/>
      <c r="K661" s="499"/>
      <c r="L661" s="497"/>
      <c r="M661" s="499"/>
    </row>
    <row r="662" spans="1:13" x14ac:dyDescent="0.25">
      <c r="A662" s="497"/>
      <c r="B662" s="545">
        <v>42529</v>
      </c>
      <c r="C662" s="497">
        <v>500</v>
      </c>
      <c r="D662" s="498">
        <v>14.59</v>
      </c>
      <c r="E662" s="499">
        <v>0</v>
      </c>
      <c r="F662" s="499">
        <f t="shared" si="101"/>
        <v>7295</v>
      </c>
      <c r="G662" s="497"/>
      <c r="H662" s="513"/>
      <c r="I662" s="498"/>
      <c r="J662" s="499"/>
      <c r="K662" s="499"/>
      <c r="L662" s="497"/>
      <c r="M662" s="499"/>
    </row>
    <row r="663" spans="1:13" x14ac:dyDescent="0.25">
      <c r="A663" s="497"/>
      <c r="B663" s="545">
        <v>42531</v>
      </c>
      <c r="C663" s="497">
        <v>800</v>
      </c>
      <c r="D663" s="498">
        <v>13.79</v>
      </c>
      <c r="E663" s="499">
        <v>0</v>
      </c>
      <c r="F663" s="499">
        <f t="shared" si="101"/>
        <v>11032</v>
      </c>
      <c r="G663" s="497"/>
      <c r="H663" s="513"/>
      <c r="I663" s="498"/>
      <c r="J663" s="499"/>
      <c r="K663" s="499"/>
      <c r="L663" s="497"/>
      <c r="M663" s="499"/>
    </row>
    <row r="664" spans="1:13" x14ac:dyDescent="0.25">
      <c r="A664" s="497"/>
      <c r="B664" s="545">
        <v>42531</v>
      </c>
      <c r="C664" s="497">
        <v>300</v>
      </c>
      <c r="D664" s="498">
        <v>13.4</v>
      </c>
      <c r="E664" s="499">
        <v>0</v>
      </c>
      <c r="F664" s="499">
        <f t="shared" si="101"/>
        <v>4020</v>
      </c>
      <c r="G664" s="497"/>
      <c r="H664" s="513"/>
      <c r="I664" s="498"/>
      <c r="J664" s="499"/>
      <c r="K664" s="499"/>
      <c r="L664" s="497"/>
      <c r="M664" s="499"/>
    </row>
    <row r="665" spans="1:13" x14ac:dyDescent="0.25">
      <c r="A665" s="497"/>
      <c r="B665" s="545">
        <v>42535</v>
      </c>
      <c r="C665" s="497">
        <v>400</v>
      </c>
      <c r="D665" s="498">
        <v>12.85</v>
      </c>
      <c r="E665" s="499">
        <v>0</v>
      </c>
      <c r="F665" s="499">
        <f t="shared" si="101"/>
        <v>5140</v>
      </c>
      <c r="G665" s="497"/>
      <c r="H665" s="513"/>
      <c r="I665" s="498"/>
      <c r="J665" s="499"/>
      <c r="K665" s="499"/>
      <c r="L665" s="497"/>
      <c r="M665" s="499"/>
    </row>
    <row r="666" spans="1:13" x14ac:dyDescent="0.25">
      <c r="A666" s="497"/>
      <c r="B666" s="545">
        <v>42537</v>
      </c>
      <c r="C666" s="497">
        <v>400</v>
      </c>
      <c r="D666" s="498">
        <v>12.43</v>
      </c>
      <c r="E666" s="499">
        <v>-0.04</v>
      </c>
      <c r="F666" s="499">
        <f t="shared" si="101"/>
        <v>4971.96</v>
      </c>
      <c r="G666" s="497"/>
      <c r="H666" s="513"/>
      <c r="I666" s="498"/>
      <c r="J666" s="499"/>
      <c r="K666" s="499"/>
      <c r="L666" s="497"/>
      <c r="M666" s="499"/>
    </row>
    <row r="667" spans="1:13" x14ac:dyDescent="0.25">
      <c r="A667" s="497"/>
      <c r="B667" s="545">
        <v>42538</v>
      </c>
      <c r="C667" s="497">
        <v>500</v>
      </c>
      <c r="D667" s="498">
        <v>13.14</v>
      </c>
      <c r="E667" s="499">
        <v>0</v>
      </c>
      <c r="F667" s="499">
        <f t="shared" si="101"/>
        <v>6570</v>
      </c>
      <c r="G667" s="497"/>
      <c r="H667" s="513"/>
      <c r="I667" s="498"/>
      <c r="J667" s="499"/>
      <c r="K667" s="499"/>
      <c r="L667" s="497"/>
      <c r="M667" s="499"/>
    </row>
    <row r="668" spans="1:13" x14ac:dyDescent="0.25">
      <c r="A668" s="497"/>
      <c r="B668" s="545">
        <v>42543</v>
      </c>
      <c r="C668" s="497">
        <v>500</v>
      </c>
      <c r="D668" s="498">
        <v>14.75</v>
      </c>
      <c r="E668" s="499">
        <v>0</v>
      </c>
      <c r="F668" s="499">
        <f t="shared" si="101"/>
        <v>7375</v>
      </c>
      <c r="G668" s="496">
        <v>42544</v>
      </c>
      <c r="H668" s="513">
        <v>500</v>
      </c>
      <c r="I668" s="498">
        <v>15.24</v>
      </c>
      <c r="J668" s="499">
        <v>0.17</v>
      </c>
      <c r="K668" s="499">
        <f>H668*I668-J668</f>
        <v>7619.83</v>
      </c>
      <c r="L668" s="497"/>
      <c r="M668" s="499"/>
    </row>
    <row r="669" spans="1:13" x14ac:dyDescent="0.25">
      <c r="A669" s="497"/>
      <c r="B669" s="545">
        <v>42545</v>
      </c>
      <c r="C669" s="497">
        <v>878</v>
      </c>
      <c r="D669" s="498">
        <v>14.41</v>
      </c>
      <c r="E669" s="499">
        <v>0</v>
      </c>
      <c r="F669" s="499">
        <f t="shared" si="101"/>
        <v>12651.98</v>
      </c>
      <c r="G669" s="497"/>
      <c r="H669" s="513"/>
      <c r="I669" s="498"/>
      <c r="J669" s="499"/>
      <c r="K669" s="499"/>
      <c r="L669" s="497"/>
      <c r="M669" s="499"/>
    </row>
    <row r="670" spans="1:13" x14ac:dyDescent="0.25">
      <c r="A670" s="497"/>
      <c r="B670" s="545">
        <v>42545</v>
      </c>
      <c r="C670" s="497">
        <v>335</v>
      </c>
      <c r="D670" s="498">
        <v>14.08</v>
      </c>
      <c r="E670" s="499">
        <v>0</v>
      </c>
      <c r="F670" s="499">
        <f t="shared" si="101"/>
        <v>4716.8</v>
      </c>
      <c r="G670" s="497"/>
      <c r="H670" s="513"/>
      <c r="I670" s="498"/>
      <c r="J670" s="499"/>
      <c r="K670" s="499"/>
      <c r="L670" s="497"/>
      <c r="M670" s="499"/>
    </row>
    <row r="671" spans="1:13" x14ac:dyDescent="0.25">
      <c r="A671" s="497"/>
      <c r="B671" s="545">
        <v>42548</v>
      </c>
      <c r="C671" s="497">
        <v>965</v>
      </c>
      <c r="D671" s="498">
        <v>13.81</v>
      </c>
      <c r="E671" s="499">
        <v>0</v>
      </c>
      <c r="F671" s="499">
        <f t="shared" si="101"/>
        <v>13326.65</v>
      </c>
      <c r="G671" s="497"/>
      <c r="H671" s="513"/>
      <c r="I671" s="498"/>
      <c r="J671" s="499"/>
      <c r="K671" s="499"/>
      <c r="L671" s="497"/>
      <c r="M671" s="499"/>
    </row>
    <row r="672" spans="1:13" x14ac:dyDescent="0.25">
      <c r="A672" s="497"/>
      <c r="B672" s="545">
        <v>42548</v>
      </c>
      <c r="C672" s="497">
        <v>300</v>
      </c>
      <c r="D672" s="498">
        <v>13.58</v>
      </c>
      <c r="E672" s="499">
        <v>0</v>
      </c>
      <c r="F672" s="499">
        <f t="shared" si="101"/>
        <v>4074</v>
      </c>
      <c r="G672" s="496">
        <v>42549</v>
      </c>
      <c r="H672" s="513">
        <v>1100</v>
      </c>
      <c r="I672" s="498">
        <v>14.68</v>
      </c>
      <c r="J672" s="499">
        <v>0.35</v>
      </c>
      <c r="K672" s="499">
        <f t="shared" ref="K672:K757" si="102">H672*I672-J672</f>
        <v>16147.65</v>
      </c>
      <c r="L672" s="497"/>
      <c r="M672" s="499"/>
    </row>
    <row r="673" spans="1:13" ht="45" x14ac:dyDescent="0.25">
      <c r="A673" s="497"/>
      <c r="B673" s="545">
        <v>42556</v>
      </c>
      <c r="C673" s="497">
        <v>2178</v>
      </c>
      <c r="D673" s="498">
        <v>15.08</v>
      </c>
      <c r="E673" s="499">
        <v>0</v>
      </c>
      <c r="F673" s="499">
        <f t="shared" si="101"/>
        <v>32844.239999999998</v>
      </c>
      <c r="G673" s="611" t="s">
        <v>225</v>
      </c>
      <c r="H673" s="513">
        <v>500</v>
      </c>
      <c r="I673" s="498">
        <v>15.48</v>
      </c>
      <c r="J673" s="499">
        <v>0.17</v>
      </c>
      <c r="K673" s="499">
        <f t="shared" si="102"/>
        <v>7739.83</v>
      </c>
      <c r="L673" s="497"/>
      <c r="M673" s="499"/>
    </row>
    <row r="674" spans="1:13" x14ac:dyDescent="0.25">
      <c r="A674" s="497"/>
      <c r="B674" s="545">
        <v>42556</v>
      </c>
      <c r="C674" s="497">
        <v>500</v>
      </c>
      <c r="D674" s="498">
        <v>14.62</v>
      </c>
      <c r="E674" s="499">
        <v>0</v>
      </c>
      <c r="F674" s="499">
        <f t="shared" si="101"/>
        <v>7310</v>
      </c>
      <c r="G674" s="611"/>
      <c r="H674" s="513">
        <v>378</v>
      </c>
      <c r="I674" s="498">
        <v>15.65</v>
      </c>
      <c r="J674" s="499">
        <v>0.13</v>
      </c>
      <c r="K674" s="499">
        <f t="shared" si="102"/>
        <v>5915.57</v>
      </c>
      <c r="L674" s="497"/>
      <c r="M674" s="499"/>
    </row>
    <row r="675" spans="1:13" x14ac:dyDescent="0.25">
      <c r="A675" s="497"/>
      <c r="B675" s="545">
        <v>42557</v>
      </c>
      <c r="C675" s="497">
        <v>500</v>
      </c>
      <c r="D675" s="498">
        <v>14.78</v>
      </c>
      <c r="E675" s="499">
        <v>0</v>
      </c>
      <c r="F675" s="499">
        <f t="shared" si="101"/>
        <v>7390</v>
      </c>
      <c r="G675" s="611"/>
      <c r="H675" s="513">
        <v>500</v>
      </c>
      <c r="I675" s="498">
        <v>15.51</v>
      </c>
      <c r="J675" s="499">
        <v>0.17</v>
      </c>
      <c r="K675" s="499">
        <f t="shared" si="102"/>
        <v>7754.83</v>
      </c>
      <c r="L675" s="497"/>
      <c r="M675" s="499"/>
    </row>
    <row r="676" spans="1:13" x14ac:dyDescent="0.25">
      <c r="A676" s="497"/>
      <c r="B676" s="597">
        <v>42564</v>
      </c>
      <c r="C676" s="497">
        <v>320</v>
      </c>
      <c r="D676" s="498">
        <v>15.48</v>
      </c>
      <c r="E676" s="499">
        <v>0</v>
      </c>
      <c r="F676" s="499">
        <f t="shared" si="101"/>
        <v>4953.6000000000004</v>
      </c>
      <c r="G676" s="611"/>
      <c r="H676" s="513">
        <v>800</v>
      </c>
      <c r="I676" s="498">
        <v>15.78</v>
      </c>
      <c r="J676" s="499">
        <v>0.28000000000000003</v>
      </c>
      <c r="K676" s="499">
        <f t="shared" si="102"/>
        <v>12623.72</v>
      </c>
      <c r="L676" s="497"/>
      <c r="M676" s="499"/>
    </row>
    <row r="677" spans="1:13" x14ac:dyDescent="0.25">
      <c r="A677" s="598"/>
      <c r="B677" s="597">
        <v>42564</v>
      </c>
      <c r="C677" s="497">
        <v>160</v>
      </c>
      <c r="D677" s="498">
        <v>15.48</v>
      </c>
      <c r="E677" s="499">
        <v>0</v>
      </c>
      <c r="F677" s="499">
        <f t="shared" si="101"/>
        <v>2476.8000000000002</v>
      </c>
      <c r="G677" s="496">
        <v>42557</v>
      </c>
      <c r="H677" s="513">
        <v>500</v>
      </c>
      <c r="I677" s="498">
        <v>14.92</v>
      </c>
      <c r="J677" s="499">
        <v>0.16</v>
      </c>
      <c r="K677" s="499">
        <f t="shared" si="102"/>
        <v>7459.84</v>
      </c>
      <c r="L677" s="497"/>
      <c r="M677" s="499"/>
    </row>
    <row r="678" spans="1:13" x14ac:dyDescent="0.25">
      <c r="A678" s="598"/>
      <c r="B678" s="545">
        <v>42570</v>
      </c>
      <c r="C678" s="497">
        <v>200</v>
      </c>
      <c r="D678" s="498">
        <v>15.18</v>
      </c>
      <c r="E678" s="499">
        <v>0</v>
      </c>
      <c r="F678" s="499">
        <f t="shared" si="101"/>
        <v>3036</v>
      </c>
      <c r="G678" s="496">
        <v>42564</v>
      </c>
      <c r="H678" s="513">
        <v>420</v>
      </c>
      <c r="I678" s="498">
        <v>15.68</v>
      </c>
      <c r="J678" s="499">
        <v>0.14000000000000001</v>
      </c>
      <c r="K678" s="499">
        <f t="shared" si="102"/>
        <v>6585.4599999999991</v>
      </c>
      <c r="L678" s="497"/>
      <c r="M678" s="499"/>
    </row>
    <row r="679" spans="1:13" x14ac:dyDescent="0.25">
      <c r="A679" s="598"/>
      <c r="B679" s="545">
        <v>42570</v>
      </c>
      <c r="C679" s="497">
        <v>200</v>
      </c>
      <c r="D679" s="498">
        <v>14.68</v>
      </c>
      <c r="E679" s="499">
        <v>0</v>
      </c>
      <c r="F679" s="499">
        <f t="shared" si="101"/>
        <v>2936</v>
      </c>
      <c r="G679" s="496">
        <v>42571</v>
      </c>
      <c r="H679" s="513">
        <v>200</v>
      </c>
      <c r="I679" s="498">
        <v>14.82</v>
      </c>
      <c r="J679" s="499">
        <v>0.06</v>
      </c>
      <c r="K679" s="499">
        <f t="shared" si="102"/>
        <v>2963.94</v>
      </c>
      <c r="L679" s="497"/>
      <c r="M679" s="499"/>
    </row>
    <row r="680" spans="1:13" x14ac:dyDescent="0.25">
      <c r="A680" s="497"/>
      <c r="B680" s="545">
        <v>42571</v>
      </c>
      <c r="C680" s="497">
        <v>200</v>
      </c>
      <c r="D680" s="498">
        <v>14.33</v>
      </c>
      <c r="E680" s="499">
        <v>-1</v>
      </c>
      <c r="F680" s="499">
        <f t="shared" si="101"/>
        <v>2865</v>
      </c>
      <c r="G680" s="496">
        <v>42572</v>
      </c>
      <c r="H680" s="513">
        <v>200</v>
      </c>
      <c r="I680" s="498">
        <v>14.8</v>
      </c>
      <c r="J680" s="499">
        <v>0.06</v>
      </c>
      <c r="K680" s="499">
        <f t="shared" si="102"/>
        <v>2959.94</v>
      </c>
      <c r="L680" s="497"/>
      <c r="M680" s="499"/>
    </row>
    <row r="681" spans="1:13" x14ac:dyDescent="0.25">
      <c r="A681" s="497"/>
      <c r="B681" s="545">
        <v>42572</v>
      </c>
      <c r="C681" s="497">
        <v>60</v>
      </c>
      <c r="D681" s="498">
        <v>14.58</v>
      </c>
      <c r="E681" s="499">
        <v>0</v>
      </c>
      <c r="F681" s="499">
        <f t="shared" si="101"/>
        <v>874.8</v>
      </c>
      <c r="G681" s="496">
        <v>42577</v>
      </c>
      <c r="H681" s="513">
        <v>200</v>
      </c>
      <c r="I681" s="498">
        <v>13.78</v>
      </c>
      <c r="J681" s="499">
        <v>0.06</v>
      </c>
      <c r="K681" s="499">
        <f t="shared" si="102"/>
        <v>2755.94</v>
      </c>
      <c r="L681" s="497"/>
      <c r="M681" s="499"/>
    </row>
    <row r="682" spans="1:13" x14ac:dyDescent="0.25">
      <c r="A682" s="497"/>
      <c r="B682" s="545">
        <v>42572</v>
      </c>
      <c r="C682" s="497">
        <v>140</v>
      </c>
      <c r="D682" s="498">
        <v>14.65</v>
      </c>
      <c r="E682" s="499">
        <v>0</v>
      </c>
      <c r="F682" s="499">
        <f t="shared" si="101"/>
        <v>2051</v>
      </c>
      <c r="G682" s="496">
        <v>42580</v>
      </c>
      <c r="H682" s="513">
        <v>200</v>
      </c>
      <c r="I682" s="498">
        <v>13.224</v>
      </c>
      <c r="J682" s="499">
        <v>0.08</v>
      </c>
      <c r="K682" s="499">
        <f t="shared" si="102"/>
        <v>2644.7200000000003</v>
      </c>
      <c r="L682" s="497"/>
      <c r="M682" s="499"/>
    </row>
    <row r="683" spans="1:13" x14ac:dyDescent="0.25">
      <c r="A683" s="497"/>
      <c r="B683" s="545">
        <v>42573</v>
      </c>
      <c r="C683" s="497">
        <v>140</v>
      </c>
      <c r="D683" s="498">
        <v>14.08</v>
      </c>
      <c r="E683" s="499">
        <v>0</v>
      </c>
      <c r="F683" s="499">
        <f t="shared" si="101"/>
        <v>1971.2</v>
      </c>
      <c r="G683" s="496">
        <v>42580</v>
      </c>
      <c r="H683" s="513">
        <v>200</v>
      </c>
      <c r="I683" s="498">
        <v>13.58</v>
      </c>
      <c r="J683" s="499">
        <v>0.06</v>
      </c>
      <c r="K683" s="499">
        <f t="shared" si="102"/>
        <v>2715.94</v>
      </c>
      <c r="L683" s="497"/>
      <c r="M683" s="499"/>
    </row>
    <row r="684" spans="1:13" x14ac:dyDescent="0.25">
      <c r="A684" s="497"/>
      <c r="B684" s="545">
        <v>42576</v>
      </c>
      <c r="C684" s="497">
        <v>200</v>
      </c>
      <c r="D684" s="498">
        <v>13.55</v>
      </c>
      <c r="E684" s="499">
        <v>0</v>
      </c>
      <c r="F684" s="499">
        <f t="shared" si="101"/>
        <v>2710</v>
      </c>
      <c r="G684" s="496">
        <v>42586</v>
      </c>
      <c r="H684" s="513">
        <v>400</v>
      </c>
      <c r="I684" s="498">
        <v>13.78</v>
      </c>
      <c r="J684" s="499">
        <v>0.12</v>
      </c>
      <c r="K684" s="499">
        <f t="shared" si="102"/>
        <v>5511.88</v>
      </c>
      <c r="L684" s="497"/>
      <c r="M684" s="499"/>
    </row>
    <row r="685" spans="1:13" x14ac:dyDescent="0.25">
      <c r="A685" s="497"/>
      <c r="B685" s="545">
        <v>42578</v>
      </c>
      <c r="C685" s="497">
        <v>200</v>
      </c>
      <c r="D685" s="498">
        <v>13.18</v>
      </c>
      <c r="E685" s="499">
        <v>0</v>
      </c>
      <c r="F685" s="499">
        <f t="shared" si="101"/>
        <v>2636</v>
      </c>
      <c r="G685" s="496">
        <v>42586</v>
      </c>
      <c r="H685" s="513">
        <v>400</v>
      </c>
      <c r="I685" s="498">
        <v>13.72</v>
      </c>
      <c r="J685" s="499">
        <v>0.12</v>
      </c>
      <c r="K685" s="499">
        <f t="shared" si="102"/>
        <v>5487.88</v>
      </c>
      <c r="L685" s="497"/>
      <c r="M685" s="499"/>
    </row>
    <row r="686" spans="1:13" x14ac:dyDescent="0.25">
      <c r="A686" s="497"/>
      <c r="B686" s="545">
        <v>42580</v>
      </c>
      <c r="C686" s="497">
        <v>200</v>
      </c>
      <c r="D686" s="498">
        <v>13.15</v>
      </c>
      <c r="E686" s="499">
        <v>0</v>
      </c>
      <c r="F686" s="499">
        <f t="shared" si="101"/>
        <v>2630</v>
      </c>
      <c r="G686" s="496">
        <v>42586</v>
      </c>
      <c r="H686" s="513">
        <v>140</v>
      </c>
      <c r="I686" s="498">
        <v>13.88</v>
      </c>
      <c r="J686" s="499">
        <v>0.04</v>
      </c>
      <c r="K686" s="499">
        <f t="shared" si="102"/>
        <v>1943.16</v>
      </c>
      <c r="L686" s="497"/>
      <c r="M686" s="499"/>
    </row>
    <row r="687" spans="1:13" x14ac:dyDescent="0.25">
      <c r="A687" s="497"/>
      <c r="B687" s="545">
        <v>42583</v>
      </c>
      <c r="C687" s="594">
        <v>20</v>
      </c>
      <c r="D687" s="498">
        <v>13.02</v>
      </c>
      <c r="E687" s="499">
        <v>0</v>
      </c>
      <c r="F687" s="499">
        <f t="shared" si="101"/>
        <v>260.39999999999998</v>
      </c>
      <c r="G687" s="496">
        <v>42593</v>
      </c>
      <c r="H687" s="513">
        <v>460</v>
      </c>
      <c r="I687" s="498">
        <v>14.59</v>
      </c>
      <c r="J687" s="499">
        <v>0.15</v>
      </c>
      <c r="K687" s="499">
        <f t="shared" si="102"/>
        <v>6711.25</v>
      </c>
      <c r="L687" s="497"/>
      <c r="M687" s="499"/>
    </row>
    <row r="688" spans="1:13" x14ac:dyDescent="0.25">
      <c r="A688" s="497"/>
      <c r="B688" s="545">
        <v>42583</v>
      </c>
      <c r="C688" s="497">
        <v>180</v>
      </c>
      <c r="D688" s="498">
        <v>13.02</v>
      </c>
      <c r="E688" s="499">
        <v>0</v>
      </c>
      <c r="F688" s="499">
        <f t="shared" si="101"/>
        <v>2343.6</v>
      </c>
      <c r="G688" s="496">
        <v>42594</v>
      </c>
      <c r="H688" s="513">
        <v>500</v>
      </c>
      <c r="I688" s="498">
        <v>14.88</v>
      </c>
      <c r="J688" s="499">
        <v>0.16</v>
      </c>
      <c r="K688" s="499">
        <f t="shared" si="102"/>
        <v>7439.84</v>
      </c>
      <c r="L688" s="497"/>
      <c r="M688" s="499"/>
    </row>
    <row r="689" spans="1:13" x14ac:dyDescent="0.25">
      <c r="A689" s="497"/>
      <c r="B689" s="545">
        <v>42584</v>
      </c>
      <c r="C689" s="497">
        <v>120</v>
      </c>
      <c r="D689" s="498">
        <v>12.68</v>
      </c>
      <c r="E689" s="499">
        <v>0</v>
      </c>
      <c r="F689" s="499">
        <f t="shared" si="101"/>
        <v>1521.6</v>
      </c>
      <c r="G689" s="496">
        <v>42598</v>
      </c>
      <c r="H689" s="513">
        <v>500</v>
      </c>
      <c r="I689" s="498">
        <v>15.18</v>
      </c>
      <c r="J689" s="499">
        <v>0.17</v>
      </c>
      <c r="K689" s="499">
        <f t="shared" si="102"/>
        <v>7589.83</v>
      </c>
      <c r="L689" s="497"/>
      <c r="M689" s="499"/>
    </row>
    <row r="690" spans="1:13" x14ac:dyDescent="0.25">
      <c r="A690" s="497"/>
      <c r="B690" s="545">
        <v>42584</v>
      </c>
      <c r="C690" s="497">
        <v>80</v>
      </c>
      <c r="D690" s="498">
        <v>12.68</v>
      </c>
      <c r="E690" s="499">
        <v>0</v>
      </c>
      <c r="F690" s="499">
        <f t="shared" si="101"/>
        <v>1014.4</v>
      </c>
      <c r="G690" s="496">
        <v>42599</v>
      </c>
      <c r="H690" s="513">
        <v>500</v>
      </c>
      <c r="I690" s="498">
        <v>15.18</v>
      </c>
      <c r="J690" s="499">
        <v>0.17</v>
      </c>
      <c r="K690" s="499">
        <f t="shared" si="102"/>
        <v>7589.83</v>
      </c>
      <c r="L690" s="497"/>
      <c r="M690" s="499"/>
    </row>
    <row r="691" spans="1:13" x14ac:dyDescent="0.25">
      <c r="A691" s="497"/>
      <c r="B691" s="545">
        <v>42585</v>
      </c>
      <c r="C691" s="497">
        <v>242</v>
      </c>
      <c r="D691" s="498">
        <v>13.38</v>
      </c>
      <c r="E691" s="499">
        <v>0</v>
      </c>
      <c r="F691" s="499">
        <f t="shared" si="101"/>
        <v>3237.96</v>
      </c>
      <c r="G691" s="496">
        <v>42599</v>
      </c>
      <c r="H691" s="513">
        <v>500</v>
      </c>
      <c r="I691" s="498">
        <v>15.41</v>
      </c>
      <c r="J691" s="499">
        <v>0.17</v>
      </c>
      <c r="K691" s="499">
        <f t="shared" si="102"/>
        <v>7704.83</v>
      </c>
      <c r="L691" s="497"/>
      <c r="M691" s="499"/>
    </row>
    <row r="692" spans="1:13" x14ac:dyDescent="0.25">
      <c r="A692" s="497"/>
      <c r="B692" s="545">
        <v>42585</v>
      </c>
      <c r="C692" s="497">
        <v>158</v>
      </c>
      <c r="D692" s="498">
        <v>13.38</v>
      </c>
      <c r="E692" s="499">
        <v>0</v>
      </c>
      <c r="F692" s="499">
        <f t="shared" si="101"/>
        <v>2114.04</v>
      </c>
      <c r="G692" s="496">
        <v>42599</v>
      </c>
      <c r="H692" s="513">
        <v>500</v>
      </c>
      <c r="I692" s="498">
        <v>15.65</v>
      </c>
      <c r="J692" s="499">
        <v>0.17</v>
      </c>
      <c r="K692" s="499">
        <f t="shared" si="102"/>
        <v>7824.83</v>
      </c>
      <c r="L692" s="497"/>
      <c r="M692" s="499"/>
    </row>
    <row r="693" spans="1:13" ht="45" x14ac:dyDescent="0.25">
      <c r="A693" s="497"/>
      <c r="B693" s="545">
        <v>42594</v>
      </c>
      <c r="C693" s="497">
        <v>500</v>
      </c>
      <c r="D693" s="498">
        <v>14.65</v>
      </c>
      <c r="E693" s="499">
        <v>0</v>
      </c>
      <c r="F693" s="499">
        <f t="shared" si="101"/>
        <v>7325</v>
      </c>
      <c r="G693" s="616" t="s">
        <v>253</v>
      </c>
      <c r="H693" s="513">
        <v>500</v>
      </c>
      <c r="I693" s="498">
        <v>16.18</v>
      </c>
      <c r="J693" s="499">
        <v>0.18</v>
      </c>
      <c r="K693" s="499">
        <f t="shared" si="102"/>
        <v>8089.82</v>
      </c>
      <c r="L693" s="497"/>
      <c r="M693" s="499"/>
    </row>
    <row r="694" spans="1:13" x14ac:dyDescent="0.25">
      <c r="A694" s="497"/>
      <c r="B694" s="545">
        <v>42599</v>
      </c>
      <c r="C694" s="497">
        <v>242</v>
      </c>
      <c r="D694" s="498">
        <v>14.95</v>
      </c>
      <c r="E694" s="499">
        <v>0</v>
      </c>
      <c r="F694" s="499">
        <f t="shared" si="101"/>
        <v>3617.8999999999996</v>
      </c>
      <c r="G694" s="616"/>
      <c r="H694" s="513">
        <v>500</v>
      </c>
      <c r="I694" s="498">
        <v>16.38</v>
      </c>
      <c r="J694" s="499">
        <v>0.18</v>
      </c>
      <c r="K694" s="499">
        <f t="shared" si="102"/>
        <v>8189.8199999999988</v>
      </c>
      <c r="L694" s="497"/>
      <c r="M694" s="499"/>
    </row>
    <row r="695" spans="1:13" x14ac:dyDescent="0.25">
      <c r="A695" s="497"/>
      <c r="B695" s="545">
        <v>42599</v>
      </c>
      <c r="C695" s="497">
        <v>200</v>
      </c>
      <c r="D695" s="498">
        <v>14.95</v>
      </c>
      <c r="E695" s="499">
        <v>0</v>
      </c>
      <c r="F695" s="499">
        <f t="shared" si="101"/>
        <v>2990</v>
      </c>
      <c r="G695" s="616"/>
      <c r="H695" s="513">
        <v>178</v>
      </c>
      <c r="I695" s="498">
        <v>16.5</v>
      </c>
      <c r="J695" s="499">
        <v>0.06</v>
      </c>
      <c r="K695" s="499">
        <f t="shared" si="102"/>
        <v>2936.94</v>
      </c>
      <c r="L695" s="497"/>
      <c r="M695" s="499"/>
    </row>
    <row r="696" spans="1:13" x14ac:dyDescent="0.25">
      <c r="A696" s="497"/>
      <c r="B696" s="545">
        <v>42599</v>
      </c>
      <c r="C696" s="497">
        <v>36</v>
      </c>
      <c r="D696" s="498">
        <v>14.95</v>
      </c>
      <c r="E696" s="499">
        <v>0</v>
      </c>
      <c r="F696" s="499">
        <f t="shared" si="101"/>
        <v>538.19999999999993</v>
      </c>
      <c r="G696" s="616"/>
      <c r="H696" s="513">
        <v>500</v>
      </c>
      <c r="I696" s="498">
        <v>16.72</v>
      </c>
      <c r="J696" s="499">
        <v>0.18</v>
      </c>
      <c r="K696" s="499">
        <f t="shared" si="102"/>
        <v>8359.82</v>
      </c>
      <c r="L696" s="497"/>
      <c r="M696" s="499"/>
    </row>
    <row r="697" spans="1:13" x14ac:dyDescent="0.25">
      <c r="A697" s="497"/>
      <c r="B697" s="545">
        <v>42599</v>
      </c>
      <c r="C697" s="497">
        <v>22</v>
      </c>
      <c r="D697" s="498">
        <v>14.95</v>
      </c>
      <c r="E697" s="499">
        <v>0</v>
      </c>
      <c r="F697" s="499">
        <f t="shared" si="101"/>
        <v>328.9</v>
      </c>
      <c r="G697" s="496">
        <v>42601</v>
      </c>
      <c r="H697" s="513">
        <v>500</v>
      </c>
      <c r="I697" s="498">
        <v>16.82</v>
      </c>
      <c r="J697" s="499">
        <v>0.18</v>
      </c>
      <c r="K697" s="499">
        <f t="shared" si="102"/>
        <v>8409.82</v>
      </c>
      <c r="L697" s="497"/>
      <c r="M697" s="499"/>
    </row>
    <row r="698" spans="1:13" x14ac:dyDescent="0.25">
      <c r="A698" s="497"/>
      <c r="B698" s="545">
        <v>42604</v>
      </c>
      <c r="C698" s="497">
        <v>1000</v>
      </c>
      <c r="D698" s="498">
        <v>15.68</v>
      </c>
      <c r="E698" s="499">
        <v>0</v>
      </c>
      <c r="F698" s="499">
        <f t="shared" si="101"/>
        <v>15680</v>
      </c>
      <c r="G698" s="496">
        <v>42605</v>
      </c>
      <c r="H698" s="513">
        <v>500</v>
      </c>
      <c r="I698" s="498">
        <v>15.98</v>
      </c>
      <c r="J698" s="499">
        <v>0.17</v>
      </c>
      <c r="K698" s="499">
        <f t="shared" si="102"/>
        <v>7989.83</v>
      </c>
      <c r="L698" s="497"/>
      <c r="M698" s="499"/>
    </row>
    <row r="699" spans="1:13" x14ac:dyDescent="0.25">
      <c r="A699" s="497"/>
      <c r="B699" s="545">
        <v>42604</v>
      </c>
      <c r="C699" s="497">
        <v>500</v>
      </c>
      <c r="D699" s="498">
        <v>15.48</v>
      </c>
      <c r="E699" s="499">
        <v>0</v>
      </c>
      <c r="F699" s="499">
        <f t="shared" si="101"/>
        <v>7740</v>
      </c>
      <c r="G699" s="496">
        <v>42605</v>
      </c>
      <c r="H699" s="513">
        <v>500</v>
      </c>
      <c r="I699" s="498">
        <v>16.25</v>
      </c>
      <c r="J699" s="499">
        <v>0.18</v>
      </c>
      <c r="K699" s="499">
        <f t="shared" si="102"/>
        <v>8124.82</v>
      </c>
      <c r="L699" s="497"/>
      <c r="M699" s="499"/>
    </row>
    <row r="700" spans="1:13" x14ac:dyDescent="0.25">
      <c r="A700" s="497"/>
      <c r="B700" s="545">
        <v>42606</v>
      </c>
      <c r="C700" s="497">
        <v>178</v>
      </c>
      <c r="D700" s="498">
        <v>16.059999999999999</v>
      </c>
      <c r="E700" s="499">
        <v>0</v>
      </c>
      <c r="F700" s="499">
        <f t="shared" si="101"/>
        <v>2858.68</v>
      </c>
      <c r="G700" s="496">
        <v>42605</v>
      </c>
      <c r="H700" s="513">
        <v>500</v>
      </c>
      <c r="I700" s="498">
        <v>16.48</v>
      </c>
      <c r="J700" s="499">
        <v>0.18</v>
      </c>
      <c r="K700" s="499">
        <f t="shared" si="102"/>
        <v>8239.82</v>
      </c>
      <c r="L700" s="497"/>
      <c r="M700" s="499"/>
    </row>
    <row r="701" spans="1:13" x14ac:dyDescent="0.25">
      <c r="A701" s="497"/>
      <c r="B701" s="545">
        <v>42608</v>
      </c>
      <c r="C701" s="497">
        <v>500</v>
      </c>
      <c r="D701" s="498">
        <v>15.98</v>
      </c>
      <c r="E701" s="499">
        <v>0</v>
      </c>
      <c r="F701" s="499">
        <f t="shared" si="101"/>
        <v>7990</v>
      </c>
      <c r="G701" s="496">
        <v>42615</v>
      </c>
      <c r="H701" s="513">
        <v>500</v>
      </c>
      <c r="I701" s="498">
        <v>15.65</v>
      </c>
      <c r="J701" s="499">
        <v>0.17</v>
      </c>
      <c r="K701" s="499">
        <f t="shared" si="102"/>
        <v>7824.83</v>
      </c>
      <c r="L701" s="497"/>
      <c r="M701" s="499"/>
    </row>
    <row r="702" spans="1:13" ht="30" x14ac:dyDescent="0.25">
      <c r="A702" s="497"/>
      <c r="B702" s="545">
        <v>42608</v>
      </c>
      <c r="C702" s="497">
        <v>500</v>
      </c>
      <c r="D702" s="498">
        <v>15.85</v>
      </c>
      <c r="E702" s="499">
        <v>0</v>
      </c>
      <c r="F702" s="499">
        <f t="shared" si="101"/>
        <v>7925</v>
      </c>
      <c r="G702" s="496">
        <v>42621</v>
      </c>
      <c r="H702" s="513">
        <v>500</v>
      </c>
      <c r="I702" s="498">
        <v>16.72</v>
      </c>
      <c r="J702" s="499">
        <v>0.18</v>
      </c>
      <c r="K702" s="499">
        <f t="shared" si="102"/>
        <v>8359.82</v>
      </c>
      <c r="L702" s="617" t="s">
        <v>266</v>
      </c>
      <c r="M702" s="499"/>
    </row>
    <row r="703" spans="1:13" x14ac:dyDescent="0.25">
      <c r="A703" s="497"/>
      <c r="B703" s="545">
        <v>42612</v>
      </c>
      <c r="C703" s="497">
        <v>500</v>
      </c>
      <c r="D703" s="498">
        <v>15.68</v>
      </c>
      <c r="E703" s="499">
        <v>0</v>
      </c>
      <c r="F703" s="499">
        <f t="shared" si="101"/>
        <v>7840</v>
      </c>
      <c r="G703" s="496">
        <v>42621</v>
      </c>
      <c r="H703" s="513">
        <v>500</v>
      </c>
      <c r="I703" s="498">
        <v>16.28</v>
      </c>
      <c r="J703" s="499">
        <v>0.18</v>
      </c>
      <c r="K703" s="499">
        <f t="shared" si="102"/>
        <v>8139.8200000000006</v>
      </c>
      <c r="L703" s="617"/>
      <c r="M703" s="499"/>
    </row>
    <row r="704" spans="1:13" x14ac:dyDescent="0.25">
      <c r="A704" s="497"/>
      <c r="B704" s="545">
        <v>42612</v>
      </c>
      <c r="C704" s="497">
        <v>500</v>
      </c>
      <c r="D704" s="498">
        <v>15.55</v>
      </c>
      <c r="E704" s="499">
        <v>0</v>
      </c>
      <c r="F704" s="499">
        <f t="shared" si="101"/>
        <v>7775</v>
      </c>
      <c r="G704" s="496">
        <v>42621</v>
      </c>
      <c r="H704" s="513">
        <v>220</v>
      </c>
      <c r="I704" s="498">
        <v>16.77</v>
      </c>
      <c r="J704" s="499">
        <v>0.08</v>
      </c>
      <c r="K704" s="499">
        <f t="shared" si="102"/>
        <v>3689.32</v>
      </c>
      <c r="L704" s="617"/>
      <c r="M704" s="499"/>
    </row>
    <row r="705" spans="1:13" x14ac:dyDescent="0.25">
      <c r="A705" s="497"/>
      <c r="B705" s="545">
        <v>42613</v>
      </c>
      <c r="C705" s="497">
        <v>500</v>
      </c>
      <c r="D705" s="498">
        <v>15.244999999999999</v>
      </c>
      <c r="E705" s="499">
        <v>0</v>
      </c>
      <c r="F705" s="499">
        <f t="shared" si="101"/>
        <v>7622.5</v>
      </c>
      <c r="G705" s="496">
        <v>42625</v>
      </c>
      <c r="H705" s="513">
        <v>500</v>
      </c>
      <c r="I705" s="498">
        <v>15.5</v>
      </c>
      <c r="J705" s="499">
        <v>0.17</v>
      </c>
      <c r="K705" s="499">
        <f t="shared" si="102"/>
        <v>7749.83</v>
      </c>
      <c r="L705" s="497"/>
      <c r="M705" s="499"/>
    </row>
    <row r="706" spans="1:13" x14ac:dyDescent="0.25">
      <c r="A706" s="497"/>
      <c r="B706" s="545">
        <v>42613</v>
      </c>
      <c r="C706" s="497">
        <v>500</v>
      </c>
      <c r="D706" s="498">
        <v>15.08</v>
      </c>
      <c r="E706" s="499">
        <v>0</v>
      </c>
      <c r="F706" s="499">
        <f t="shared" si="101"/>
        <v>7540</v>
      </c>
      <c r="G706" s="496">
        <v>42628</v>
      </c>
      <c r="H706" s="513">
        <v>300</v>
      </c>
      <c r="I706" s="498">
        <v>14.46</v>
      </c>
      <c r="J706" s="499">
        <v>0.09</v>
      </c>
      <c r="K706" s="499">
        <f t="shared" si="102"/>
        <v>4337.91</v>
      </c>
      <c r="L706" s="497"/>
      <c r="M706" s="499"/>
    </row>
    <row r="707" spans="1:13" x14ac:dyDescent="0.25">
      <c r="A707" s="497"/>
      <c r="B707" s="545">
        <v>42622</v>
      </c>
      <c r="C707" s="497">
        <v>220</v>
      </c>
      <c r="D707" s="498">
        <v>16.25</v>
      </c>
      <c r="E707" s="499">
        <v>0</v>
      </c>
      <c r="F707" s="499">
        <f t="shared" si="101"/>
        <v>3575</v>
      </c>
      <c r="G707" s="496">
        <v>42634</v>
      </c>
      <c r="H707" s="513">
        <v>322</v>
      </c>
      <c r="I707" s="498">
        <v>14.28</v>
      </c>
      <c r="J707" s="499">
        <v>0.1</v>
      </c>
      <c r="K707" s="499">
        <f t="shared" si="102"/>
        <v>4598.0599999999995</v>
      </c>
      <c r="L707" s="497"/>
      <c r="M707" s="499"/>
    </row>
    <row r="708" spans="1:13" x14ac:dyDescent="0.25">
      <c r="A708" s="497"/>
      <c r="B708" s="545">
        <v>42622</v>
      </c>
      <c r="C708" s="497">
        <v>500</v>
      </c>
      <c r="D708" s="498">
        <v>15.98</v>
      </c>
      <c r="E708" s="499">
        <v>0</v>
      </c>
      <c r="F708" s="499">
        <f t="shared" si="101"/>
        <v>7990</v>
      </c>
      <c r="G708" s="496">
        <v>42634</v>
      </c>
      <c r="H708" s="513">
        <v>400</v>
      </c>
      <c r="I708" s="498">
        <v>14.64</v>
      </c>
      <c r="J708" s="499">
        <v>0.13</v>
      </c>
      <c r="K708" s="499">
        <f t="shared" si="102"/>
        <v>5855.87</v>
      </c>
      <c r="L708" s="497"/>
      <c r="M708" s="499"/>
    </row>
    <row r="709" spans="1:13" x14ac:dyDescent="0.25">
      <c r="A709" s="497"/>
      <c r="B709" s="545">
        <v>42622</v>
      </c>
      <c r="C709" s="497">
        <v>500</v>
      </c>
      <c r="D709" s="498">
        <v>15.75</v>
      </c>
      <c r="E709" s="499">
        <v>0</v>
      </c>
      <c r="F709" s="499">
        <f t="shared" si="101"/>
        <v>7875</v>
      </c>
      <c r="G709" s="496">
        <v>42639</v>
      </c>
      <c r="H709" s="513">
        <v>200</v>
      </c>
      <c r="I709" s="498">
        <v>14.72</v>
      </c>
      <c r="J709" s="499">
        <v>0.06</v>
      </c>
      <c r="K709" s="499">
        <f t="shared" si="102"/>
        <v>2943.94</v>
      </c>
      <c r="L709" s="497"/>
      <c r="M709" s="499"/>
    </row>
    <row r="710" spans="1:13" x14ac:dyDescent="0.25">
      <c r="A710" s="497"/>
      <c r="B710" s="545">
        <v>42625</v>
      </c>
      <c r="C710" s="497">
        <v>500</v>
      </c>
      <c r="D710" s="498">
        <v>15.22</v>
      </c>
      <c r="E710" s="499">
        <v>0</v>
      </c>
      <c r="F710" s="499">
        <f t="shared" si="101"/>
        <v>7610</v>
      </c>
      <c r="G710" s="496">
        <v>42641</v>
      </c>
      <c r="H710" s="513">
        <v>300</v>
      </c>
      <c r="I710" s="498">
        <v>15.28</v>
      </c>
      <c r="J710" s="499">
        <v>0.1</v>
      </c>
      <c r="K710" s="499">
        <f t="shared" si="102"/>
        <v>4583.8999999999996</v>
      </c>
      <c r="L710" s="497"/>
      <c r="M710" s="499"/>
    </row>
    <row r="711" spans="1:13" ht="30" x14ac:dyDescent="0.25">
      <c r="A711" s="599" t="s">
        <v>275</v>
      </c>
      <c r="B711" s="545">
        <v>42626</v>
      </c>
      <c r="C711" s="497">
        <v>600</v>
      </c>
      <c r="D711" s="498">
        <v>14.91</v>
      </c>
      <c r="E711" s="499">
        <v>-3</v>
      </c>
      <c r="F711" s="499">
        <f t="shared" si="101"/>
        <v>8943</v>
      </c>
      <c r="G711" s="496">
        <v>42641</v>
      </c>
      <c r="H711" s="513">
        <v>400</v>
      </c>
      <c r="I711" s="498">
        <v>15.06</v>
      </c>
      <c r="J711" s="499">
        <v>0.13</v>
      </c>
      <c r="K711" s="499">
        <f t="shared" si="102"/>
        <v>6023.87</v>
      </c>
      <c r="L711" s="497"/>
      <c r="M711" s="499"/>
    </row>
    <row r="712" spans="1:13" x14ac:dyDescent="0.25">
      <c r="A712" s="599"/>
      <c r="B712" s="545">
        <v>42626</v>
      </c>
      <c r="C712" s="497">
        <v>400</v>
      </c>
      <c r="D712" s="498">
        <v>14.75</v>
      </c>
      <c r="E712" s="499">
        <v>0</v>
      </c>
      <c r="F712" s="499">
        <f t="shared" si="101"/>
        <v>5900</v>
      </c>
      <c r="G712" s="496">
        <v>42641</v>
      </c>
      <c r="H712" s="513">
        <v>322</v>
      </c>
      <c r="I712" s="498">
        <v>14.39</v>
      </c>
      <c r="J712" s="499">
        <v>0.1</v>
      </c>
      <c r="K712" s="499">
        <f t="shared" si="102"/>
        <v>4633.4799999999996</v>
      </c>
      <c r="L712" s="497"/>
      <c r="M712" s="499"/>
    </row>
    <row r="713" spans="1:13" x14ac:dyDescent="0.25">
      <c r="A713" s="599"/>
      <c r="B713" s="545">
        <v>42626</v>
      </c>
      <c r="C713" s="497">
        <v>300</v>
      </c>
      <c r="D713" s="498">
        <v>14.48</v>
      </c>
      <c r="E713" s="499">
        <v>0</v>
      </c>
      <c r="F713" s="499">
        <f t="shared" si="101"/>
        <v>4344</v>
      </c>
      <c r="G713" s="496">
        <v>42641</v>
      </c>
      <c r="H713" s="513">
        <v>500</v>
      </c>
      <c r="I713" s="498">
        <v>14.26</v>
      </c>
      <c r="J713" s="499">
        <v>0.16</v>
      </c>
      <c r="K713" s="499">
        <f t="shared" si="102"/>
        <v>7129.84</v>
      </c>
      <c r="L713" s="497"/>
      <c r="M713" s="499"/>
    </row>
    <row r="714" spans="1:13" x14ac:dyDescent="0.25">
      <c r="A714" s="599"/>
      <c r="B714" s="545">
        <v>42626</v>
      </c>
      <c r="C714" s="497">
        <v>300</v>
      </c>
      <c r="D714" s="498">
        <v>14.25</v>
      </c>
      <c r="E714" s="499">
        <v>0</v>
      </c>
      <c r="F714" s="499">
        <f t="shared" si="101"/>
        <v>4275</v>
      </c>
      <c r="G714" s="496">
        <v>42642</v>
      </c>
      <c r="H714" s="513">
        <v>300</v>
      </c>
      <c r="I714" s="498">
        <v>15.28</v>
      </c>
      <c r="J714" s="499">
        <v>0.1</v>
      </c>
      <c r="K714" s="499">
        <f t="shared" si="102"/>
        <v>4583.8999999999996</v>
      </c>
      <c r="L714" s="497"/>
      <c r="M714" s="499"/>
    </row>
    <row r="715" spans="1:13" x14ac:dyDescent="0.25">
      <c r="A715" s="599"/>
      <c r="B715" s="545">
        <v>42627</v>
      </c>
      <c r="C715" s="497">
        <v>200</v>
      </c>
      <c r="D715" s="498">
        <v>14.02</v>
      </c>
      <c r="E715" s="499">
        <v>-1</v>
      </c>
      <c r="F715" s="499">
        <f t="shared" si="101"/>
        <v>2803</v>
      </c>
      <c r="G715" s="496">
        <v>42642</v>
      </c>
      <c r="H715" s="513">
        <v>700</v>
      </c>
      <c r="I715" s="498">
        <v>15.78</v>
      </c>
      <c r="J715" s="499">
        <v>0.24</v>
      </c>
      <c r="K715" s="499">
        <f t="shared" si="102"/>
        <v>11045.76</v>
      </c>
      <c r="L715" s="497"/>
      <c r="M715" s="499"/>
    </row>
    <row r="716" spans="1:13" x14ac:dyDescent="0.25">
      <c r="A716" s="497"/>
      <c r="B716" s="545">
        <v>42628</v>
      </c>
      <c r="C716" s="497">
        <v>300</v>
      </c>
      <c r="D716" s="498">
        <v>14.3</v>
      </c>
      <c r="E716" s="499">
        <v>0</v>
      </c>
      <c r="F716" s="499">
        <f t="shared" si="101"/>
        <v>4290</v>
      </c>
      <c r="G716" s="496">
        <v>42642</v>
      </c>
      <c r="H716" s="513">
        <v>214</v>
      </c>
      <c r="I716" s="498">
        <v>15.98</v>
      </c>
      <c r="J716" s="499">
        <v>7.0000000000000007E-2</v>
      </c>
      <c r="K716" s="499">
        <f t="shared" si="102"/>
        <v>3419.65</v>
      </c>
      <c r="L716" s="497"/>
      <c r="M716" s="499"/>
    </row>
    <row r="717" spans="1:13" x14ac:dyDescent="0.25">
      <c r="A717" s="497"/>
      <c r="B717" s="545">
        <v>42632</v>
      </c>
      <c r="C717" s="497">
        <v>200</v>
      </c>
      <c r="D717" s="498">
        <v>14.06</v>
      </c>
      <c r="E717" s="499">
        <v>0</v>
      </c>
      <c r="F717" s="499">
        <f t="shared" si="101"/>
        <v>2812</v>
      </c>
      <c r="G717" s="496">
        <v>42648</v>
      </c>
      <c r="H717" s="513">
        <v>1000</v>
      </c>
      <c r="I717" s="498">
        <v>16.079999999999998</v>
      </c>
      <c r="J717" s="499">
        <v>0.35</v>
      </c>
      <c r="K717" s="499">
        <f t="shared" si="102"/>
        <v>16079.649999999998</v>
      </c>
      <c r="L717" s="497"/>
      <c r="M717" s="499"/>
    </row>
    <row r="718" spans="1:13" x14ac:dyDescent="0.25">
      <c r="A718" s="497"/>
      <c r="B718" s="545">
        <v>42633</v>
      </c>
      <c r="C718" s="497">
        <v>200</v>
      </c>
      <c r="D718" s="498">
        <v>14.11</v>
      </c>
      <c r="E718" s="499">
        <v>0</v>
      </c>
      <c r="F718" s="499">
        <f t="shared" si="101"/>
        <v>2822</v>
      </c>
      <c r="G718" s="496">
        <v>42648</v>
      </c>
      <c r="H718" s="513">
        <v>500</v>
      </c>
      <c r="I718" s="498">
        <v>16.38</v>
      </c>
      <c r="J718" s="499">
        <v>0.18</v>
      </c>
      <c r="K718" s="499">
        <f t="shared" si="102"/>
        <v>8189.8199999999988</v>
      </c>
      <c r="L718" s="497"/>
      <c r="M718" s="499"/>
    </row>
    <row r="719" spans="1:13" x14ac:dyDescent="0.25">
      <c r="A719" s="497"/>
      <c r="B719" s="545">
        <v>42633</v>
      </c>
      <c r="C719" s="497">
        <v>122</v>
      </c>
      <c r="D719" s="498">
        <v>14.1</v>
      </c>
      <c r="E719" s="499">
        <v>0</v>
      </c>
      <c r="F719" s="499">
        <f t="shared" si="101"/>
        <v>1720.2</v>
      </c>
      <c r="G719" s="496">
        <v>42649</v>
      </c>
      <c r="H719" s="513">
        <v>500</v>
      </c>
      <c r="I719" s="498">
        <v>16.16</v>
      </c>
      <c r="J719" s="499">
        <v>0.18</v>
      </c>
      <c r="K719" s="499">
        <f t="shared" si="102"/>
        <v>8079.82</v>
      </c>
      <c r="L719" s="497"/>
      <c r="M719" s="499"/>
    </row>
    <row r="720" spans="1:13" x14ac:dyDescent="0.25">
      <c r="A720" s="497"/>
      <c r="B720" s="545">
        <v>42636</v>
      </c>
      <c r="C720" s="497">
        <v>200</v>
      </c>
      <c r="D720" s="498">
        <v>14.38</v>
      </c>
      <c r="E720" s="499">
        <v>0</v>
      </c>
      <c r="F720" s="499">
        <f t="shared" si="101"/>
        <v>2876</v>
      </c>
      <c r="G720" s="496">
        <v>42671</v>
      </c>
      <c r="H720" s="513">
        <v>1000</v>
      </c>
      <c r="I720" s="498">
        <v>14.22</v>
      </c>
      <c r="J720" s="499">
        <v>0.31</v>
      </c>
      <c r="K720" s="499">
        <f t="shared" si="102"/>
        <v>14219.69</v>
      </c>
      <c r="L720" s="497"/>
      <c r="M720" s="499"/>
    </row>
    <row r="721" spans="1:13" x14ac:dyDescent="0.25">
      <c r="A721" s="497"/>
      <c r="B721" s="545">
        <v>42639</v>
      </c>
      <c r="C721" s="497">
        <v>200</v>
      </c>
      <c r="D721" s="498">
        <v>14.5</v>
      </c>
      <c r="E721" s="499">
        <v>0</v>
      </c>
      <c r="F721" s="499">
        <f t="shared" ref="F721:F735" si="103">C721*D721+E721</f>
        <v>2900</v>
      </c>
      <c r="G721" s="496">
        <v>42674</v>
      </c>
      <c r="H721" s="513">
        <v>300</v>
      </c>
      <c r="I721" s="498">
        <v>13.42</v>
      </c>
      <c r="J721" s="499">
        <v>0.09</v>
      </c>
      <c r="K721" s="499">
        <f t="shared" si="102"/>
        <v>4025.91</v>
      </c>
      <c r="L721" s="497"/>
      <c r="M721" s="499"/>
    </row>
    <row r="722" spans="1:13" x14ac:dyDescent="0.25">
      <c r="A722" s="497"/>
      <c r="B722" s="545">
        <v>42639</v>
      </c>
      <c r="C722" s="497">
        <v>200</v>
      </c>
      <c r="D722" s="498">
        <v>14.38</v>
      </c>
      <c r="E722" s="499">
        <v>0</v>
      </c>
      <c r="F722" s="499">
        <f t="shared" si="103"/>
        <v>2876</v>
      </c>
      <c r="G722" s="496">
        <v>42674</v>
      </c>
      <c r="H722" s="513">
        <v>200</v>
      </c>
      <c r="I722" s="498">
        <v>13.25</v>
      </c>
      <c r="J722" s="499">
        <v>-0.74</v>
      </c>
      <c r="K722" s="499">
        <f t="shared" si="102"/>
        <v>2650.74</v>
      </c>
      <c r="L722" s="497"/>
      <c r="M722" s="499"/>
    </row>
    <row r="723" spans="1:13" x14ac:dyDescent="0.25">
      <c r="A723" s="497"/>
      <c r="B723" s="545">
        <v>42640</v>
      </c>
      <c r="C723" s="497">
        <v>322</v>
      </c>
      <c r="D723" s="498">
        <v>13.97</v>
      </c>
      <c r="E723" s="499">
        <v>0</v>
      </c>
      <c r="F723" s="499">
        <f t="shared" si="103"/>
        <v>4498.34</v>
      </c>
      <c r="G723" s="496">
        <v>42676</v>
      </c>
      <c r="H723" s="513">
        <v>200</v>
      </c>
      <c r="I723" s="498">
        <v>13.05</v>
      </c>
      <c r="J723" s="499">
        <v>0.06</v>
      </c>
      <c r="K723" s="499">
        <f t="shared" si="102"/>
        <v>2609.94</v>
      </c>
      <c r="L723" s="497"/>
      <c r="M723" s="499"/>
    </row>
    <row r="724" spans="1:13" x14ac:dyDescent="0.25">
      <c r="A724" s="497"/>
      <c r="B724" s="545">
        <v>42641</v>
      </c>
      <c r="C724" s="497">
        <v>300</v>
      </c>
      <c r="D724" s="498">
        <v>14.02</v>
      </c>
      <c r="E724" s="499">
        <v>-1.26</v>
      </c>
      <c r="F724" s="499">
        <f t="shared" si="103"/>
        <v>4204.74</v>
      </c>
      <c r="G724" s="496">
        <v>42677</v>
      </c>
      <c r="H724" s="513">
        <v>500</v>
      </c>
      <c r="I724" s="498">
        <v>13.96</v>
      </c>
      <c r="J724" s="499">
        <v>0.15</v>
      </c>
      <c r="K724" s="499">
        <f t="shared" si="102"/>
        <v>6979.85</v>
      </c>
      <c r="L724" s="497"/>
      <c r="M724" s="499"/>
    </row>
    <row r="725" spans="1:13" x14ac:dyDescent="0.25">
      <c r="A725" s="497"/>
      <c r="B725" s="545">
        <v>42641</v>
      </c>
      <c r="C725" s="497">
        <v>200</v>
      </c>
      <c r="D725" s="498">
        <v>14.17</v>
      </c>
      <c r="E725" s="499">
        <v>0</v>
      </c>
      <c r="F725" s="499">
        <f t="shared" si="103"/>
        <v>2834</v>
      </c>
      <c r="G725" s="496">
        <v>42677</v>
      </c>
      <c r="H725" s="513">
        <v>2000</v>
      </c>
      <c r="I725" s="498">
        <v>14.5</v>
      </c>
      <c r="J725" s="499">
        <v>0.63</v>
      </c>
      <c r="K725" s="499">
        <f t="shared" si="102"/>
        <v>28999.37</v>
      </c>
      <c r="L725" s="497"/>
      <c r="M725" s="499"/>
    </row>
    <row r="726" spans="1:13" x14ac:dyDescent="0.25">
      <c r="A726" s="497"/>
      <c r="B726" s="545">
        <v>42642</v>
      </c>
      <c r="C726" s="497">
        <v>414</v>
      </c>
      <c r="D726" s="498">
        <v>15.66</v>
      </c>
      <c r="E726" s="499">
        <v>0</v>
      </c>
      <c r="F726" s="499">
        <f t="shared" si="103"/>
        <v>6483.24</v>
      </c>
      <c r="G726" s="496">
        <v>42682</v>
      </c>
      <c r="H726" s="513">
        <v>1000</v>
      </c>
      <c r="I726" s="498">
        <v>14.28</v>
      </c>
      <c r="J726" s="499">
        <v>0.31</v>
      </c>
      <c r="K726" s="499">
        <f t="shared" si="102"/>
        <v>14279.69</v>
      </c>
      <c r="L726" s="497"/>
      <c r="M726" s="499"/>
    </row>
    <row r="727" spans="1:13" ht="30" x14ac:dyDescent="0.25">
      <c r="A727" s="599" t="s">
        <v>290</v>
      </c>
      <c r="B727" s="545">
        <v>42647</v>
      </c>
      <c r="C727" s="497">
        <v>500</v>
      </c>
      <c r="D727" s="498">
        <v>15.86</v>
      </c>
      <c r="E727" s="499">
        <v>0</v>
      </c>
      <c r="F727" s="499">
        <f t="shared" si="103"/>
        <v>7930</v>
      </c>
      <c r="G727" s="496">
        <v>42685</v>
      </c>
      <c r="H727" s="513">
        <v>500</v>
      </c>
      <c r="I727" s="498">
        <v>15.88</v>
      </c>
      <c r="J727" s="499">
        <v>0.17</v>
      </c>
      <c r="K727" s="499">
        <f t="shared" si="102"/>
        <v>7939.83</v>
      </c>
      <c r="L727" s="497"/>
      <c r="M727" s="499"/>
    </row>
    <row r="728" spans="1:13" x14ac:dyDescent="0.25">
      <c r="A728" s="599"/>
      <c r="B728" s="545">
        <v>42647</v>
      </c>
      <c r="C728" s="497">
        <v>500</v>
      </c>
      <c r="D728" s="498">
        <v>15.62</v>
      </c>
      <c r="E728" s="499">
        <v>0</v>
      </c>
      <c r="F728" s="499">
        <f t="shared" si="103"/>
        <v>7810</v>
      </c>
      <c r="G728" s="496">
        <v>42695</v>
      </c>
      <c r="H728" s="513">
        <v>2272</v>
      </c>
      <c r="I728" s="498">
        <v>16.28</v>
      </c>
      <c r="J728" s="499">
        <v>0.81</v>
      </c>
      <c r="K728" s="499">
        <f t="shared" si="102"/>
        <v>36987.350000000006</v>
      </c>
      <c r="L728" s="497"/>
      <c r="M728" s="499"/>
    </row>
    <row r="729" spans="1:13" x14ac:dyDescent="0.25">
      <c r="A729" s="599"/>
      <c r="B729" s="545">
        <v>42649</v>
      </c>
      <c r="C729" s="497">
        <v>500</v>
      </c>
      <c r="D729" s="498">
        <v>15.97</v>
      </c>
      <c r="E729" s="499">
        <v>0</v>
      </c>
      <c r="F729" s="499">
        <f t="shared" si="103"/>
        <v>7985</v>
      </c>
      <c r="G729" s="496">
        <v>42695</v>
      </c>
      <c r="H729" s="513">
        <v>500</v>
      </c>
      <c r="I729" s="498">
        <v>16.45</v>
      </c>
      <c r="J729" s="499">
        <v>0.18</v>
      </c>
      <c r="K729" s="499">
        <f t="shared" si="102"/>
        <v>8224.82</v>
      </c>
      <c r="L729" s="497"/>
      <c r="M729" s="499"/>
    </row>
    <row r="730" spans="1:13" x14ac:dyDescent="0.25">
      <c r="A730" s="599"/>
      <c r="B730" s="545">
        <v>42649</v>
      </c>
      <c r="C730" s="497">
        <v>500</v>
      </c>
      <c r="D730" s="498">
        <v>15.84</v>
      </c>
      <c r="E730" s="499">
        <v>0</v>
      </c>
      <c r="F730" s="499">
        <f t="shared" si="103"/>
        <v>7920</v>
      </c>
      <c r="G730" s="496">
        <v>42696</v>
      </c>
      <c r="H730" s="513">
        <v>500</v>
      </c>
      <c r="I730" s="498">
        <v>16.54</v>
      </c>
      <c r="J730" s="499">
        <v>0.18</v>
      </c>
      <c r="K730" s="499">
        <f t="shared" si="102"/>
        <v>8269.82</v>
      </c>
      <c r="L730" s="497"/>
      <c r="M730" s="499"/>
    </row>
    <row r="731" spans="1:13" x14ac:dyDescent="0.25">
      <c r="A731" s="497"/>
      <c r="B731" s="545">
        <v>42649</v>
      </c>
      <c r="C731" s="497">
        <v>500</v>
      </c>
      <c r="D731" s="498">
        <v>16.079999999999998</v>
      </c>
      <c r="E731" s="499">
        <v>0</v>
      </c>
      <c r="F731" s="499">
        <f t="shared" si="103"/>
        <v>8039.9999999999991</v>
      </c>
      <c r="G731" s="496">
        <v>42697</v>
      </c>
      <c r="H731" s="513">
        <v>200</v>
      </c>
      <c r="I731" s="498">
        <v>16.79</v>
      </c>
      <c r="J731" s="499">
        <v>7.0000000000000007E-2</v>
      </c>
      <c r="K731" s="499">
        <f t="shared" si="102"/>
        <v>3357.93</v>
      </c>
      <c r="L731" s="497"/>
      <c r="M731" s="499"/>
    </row>
    <row r="732" spans="1:13" x14ac:dyDescent="0.25">
      <c r="A732" s="497"/>
      <c r="B732" s="545">
        <v>42650</v>
      </c>
      <c r="C732" s="497">
        <v>300</v>
      </c>
      <c r="D732" s="498">
        <v>15.75</v>
      </c>
      <c r="E732" s="499">
        <v>0</v>
      </c>
      <c r="F732" s="499">
        <f t="shared" si="103"/>
        <v>4725</v>
      </c>
      <c r="G732" s="496">
        <v>42697</v>
      </c>
      <c r="H732" s="513">
        <v>500</v>
      </c>
      <c r="I732" s="498">
        <v>16.59</v>
      </c>
      <c r="J732" s="499">
        <v>0.18</v>
      </c>
      <c r="K732" s="499">
        <f t="shared" si="102"/>
        <v>8294.82</v>
      </c>
      <c r="L732" s="497"/>
      <c r="M732" s="499"/>
    </row>
    <row r="733" spans="1:13" x14ac:dyDescent="0.25">
      <c r="A733" s="497"/>
      <c r="B733" s="545">
        <v>42650</v>
      </c>
      <c r="C733" s="497">
        <v>300</v>
      </c>
      <c r="D733" s="498">
        <v>15.58</v>
      </c>
      <c r="E733" s="499">
        <v>0</v>
      </c>
      <c r="F733" s="499">
        <f t="shared" si="103"/>
        <v>4674</v>
      </c>
      <c r="G733" s="496">
        <v>42704</v>
      </c>
      <c r="H733" s="513">
        <v>1000</v>
      </c>
      <c r="I733" s="498">
        <v>16.420000000000002</v>
      </c>
      <c r="J733" s="499">
        <v>0.36</v>
      </c>
      <c r="K733" s="499">
        <f t="shared" si="102"/>
        <v>16419.64</v>
      </c>
      <c r="L733" s="497"/>
      <c r="M733" s="499"/>
    </row>
    <row r="734" spans="1:13" x14ac:dyDescent="0.25">
      <c r="A734" s="497"/>
      <c r="B734" s="545">
        <v>42653</v>
      </c>
      <c r="C734" s="497">
        <v>394</v>
      </c>
      <c r="D734" s="498">
        <v>15.72</v>
      </c>
      <c r="E734" s="499">
        <v>0</v>
      </c>
      <c r="F734" s="499">
        <f t="shared" si="103"/>
        <v>6193.68</v>
      </c>
      <c r="G734" s="496">
        <v>42704</v>
      </c>
      <c r="H734" s="513">
        <v>300</v>
      </c>
      <c r="I734" s="498">
        <v>16.78</v>
      </c>
      <c r="J734" s="499">
        <v>1.61</v>
      </c>
      <c r="K734" s="499">
        <f t="shared" si="102"/>
        <v>5032.3900000000003</v>
      </c>
      <c r="L734" s="497"/>
      <c r="M734" s="499"/>
    </row>
    <row r="735" spans="1:13" x14ac:dyDescent="0.25">
      <c r="A735" s="497"/>
      <c r="B735" s="545">
        <v>42653</v>
      </c>
      <c r="C735" s="497">
        <v>6</v>
      </c>
      <c r="D735" s="498">
        <v>15.72</v>
      </c>
      <c r="E735" s="499">
        <v>0</v>
      </c>
      <c r="F735" s="499">
        <f t="shared" si="103"/>
        <v>94.320000000000007</v>
      </c>
      <c r="G735" s="496">
        <v>42704</v>
      </c>
      <c r="H735" s="513">
        <v>1000</v>
      </c>
      <c r="I735" s="498">
        <v>17.079999999999998</v>
      </c>
      <c r="J735" s="499">
        <v>0.37</v>
      </c>
      <c r="K735" s="499">
        <f t="shared" si="102"/>
        <v>17079.63</v>
      </c>
      <c r="L735" s="497"/>
      <c r="M735" s="499"/>
    </row>
    <row r="736" spans="1:13" x14ac:dyDescent="0.25">
      <c r="A736" s="497"/>
      <c r="B736" s="545">
        <v>42655</v>
      </c>
      <c r="C736" s="497">
        <v>22</v>
      </c>
      <c r="D736" s="498">
        <v>15.48</v>
      </c>
      <c r="E736" s="499">
        <v>0</v>
      </c>
      <c r="F736" s="499">
        <f>C736*D736+E736</f>
        <v>340.56</v>
      </c>
      <c r="G736" s="496">
        <v>42704</v>
      </c>
      <c r="H736" s="513">
        <v>1000</v>
      </c>
      <c r="I736" s="498">
        <v>17.32</v>
      </c>
      <c r="J736" s="499">
        <v>0.38</v>
      </c>
      <c r="K736" s="499">
        <f t="shared" si="102"/>
        <v>17319.62</v>
      </c>
      <c r="L736" s="497"/>
      <c r="M736" s="499"/>
    </row>
    <row r="737" spans="1:13" x14ac:dyDescent="0.25">
      <c r="A737" s="497"/>
      <c r="B737" s="545">
        <v>42655</v>
      </c>
      <c r="C737" s="497">
        <v>300</v>
      </c>
      <c r="D737" s="498">
        <v>15.48</v>
      </c>
      <c r="E737" s="499">
        <v>0</v>
      </c>
      <c r="F737" s="499">
        <f>C737*D737+E737</f>
        <v>4644</v>
      </c>
      <c r="G737" s="496">
        <v>42704</v>
      </c>
      <c r="H737" s="513">
        <v>500</v>
      </c>
      <c r="I737" s="498">
        <v>17.64</v>
      </c>
      <c r="J737" s="499">
        <v>0.19</v>
      </c>
      <c r="K737" s="499">
        <f t="shared" si="102"/>
        <v>8819.81</v>
      </c>
      <c r="L737" s="497"/>
      <c r="M737" s="499"/>
    </row>
    <row r="738" spans="1:13" x14ac:dyDescent="0.25">
      <c r="A738" s="600"/>
      <c r="B738" s="545">
        <v>42668</v>
      </c>
      <c r="C738" s="497">
        <v>500</v>
      </c>
      <c r="D738" s="498">
        <v>14.26</v>
      </c>
      <c r="E738" s="499">
        <v>-2.5</v>
      </c>
      <c r="F738" s="499">
        <f t="shared" ref="F738:F747" si="104">C738*D738+E738</f>
        <v>7127.5</v>
      </c>
      <c r="G738" s="496">
        <v>42705</v>
      </c>
      <c r="H738" s="513">
        <v>528</v>
      </c>
      <c r="I738" s="498">
        <v>18.7</v>
      </c>
      <c r="J738" s="499">
        <v>0.22</v>
      </c>
      <c r="K738" s="499">
        <f t="shared" si="102"/>
        <v>9873.380000000001</v>
      </c>
      <c r="L738" s="497"/>
      <c r="M738" s="499"/>
    </row>
    <row r="739" spans="1:13" x14ac:dyDescent="0.25">
      <c r="A739" s="600"/>
      <c r="B739" s="545">
        <v>42668</v>
      </c>
      <c r="C739" s="497">
        <v>500</v>
      </c>
      <c r="D739" s="498">
        <v>14.16</v>
      </c>
      <c r="E739" s="499">
        <v>0</v>
      </c>
      <c r="F739" s="499">
        <f t="shared" si="104"/>
        <v>7080</v>
      </c>
      <c r="G739" s="496">
        <v>42711</v>
      </c>
      <c r="H739" s="513">
        <v>500</v>
      </c>
      <c r="I739" s="498">
        <v>18.329999999999998</v>
      </c>
      <c r="J739" s="499">
        <v>0.2</v>
      </c>
      <c r="K739" s="499">
        <f t="shared" si="102"/>
        <v>9164.7999999999993</v>
      </c>
      <c r="L739" s="497"/>
      <c r="M739" s="499"/>
    </row>
    <row r="740" spans="1:13" x14ac:dyDescent="0.25">
      <c r="A740" s="600"/>
      <c r="B740" s="545">
        <v>42670</v>
      </c>
      <c r="C740" s="497">
        <v>500</v>
      </c>
      <c r="D740" s="498">
        <v>14.18</v>
      </c>
      <c r="E740" s="499">
        <v>0</v>
      </c>
      <c r="F740" s="499">
        <f t="shared" si="104"/>
        <v>7090</v>
      </c>
      <c r="G740" s="496">
        <v>42713</v>
      </c>
      <c r="H740" s="513">
        <v>500</v>
      </c>
      <c r="I740" s="498">
        <v>18.28</v>
      </c>
      <c r="J740" s="499">
        <v>0.2</v>
      </c>
      <c r="K740" s="499">
        <f t="shared" si="102"/>
        <v>9139.7999999999993</v>
      </c>
      <c r="L740" s="497"/>
      <c r="M740" s="499"/>
    </row>
    <row r="741" spans="1:13" x14ac:dyDescent="0.25">
      <c r="A741" s="600"/>
      <c r="B741" s="545">
        <v>42670</v>
      </c>
      <c r="C741" s="497">
        <v>500</v>
      </c>
      <c r="D741" s="498">
        <v>14.05</v>
      </c>
      <c r="E741" s="499">
        <v>0</v>
      </c>
      <c r="F741" s="499">
        <f t="shared" si="104"/>
        <v>7025</v>
      </c>
      <c r="G741" s="496">
        <v>42718</v>
      </c>
      <c r="H741" s="513">
        <v>200</v>
      </c>
      <c r="I741" s="498">
        <v>18.78</v>
      </c>
      <c r="J741" s="499">
        <v>0.08</v>
      </c>
      <c r="K741" s="499">
        <f t="shared" si="102"/>
        <v>3755.92</v>
      </c>
      <c r="L741" s="497"/>
      <c r="M741" s="499"/>
    </row>
    <row r="742" spans="1:13" x14ac:dyDescent="0.25">
      <c r="A742" s="600"/>
      <c r="B742" s="545">
        <v>42670</v>
      </c>
      <c r="C742" s="497">
        <v>500</v>
      </c>
      <c r="D742" s="498">
        <v>13.88</v>
      </c>
      <c r="E742" s="499">
        <v>0</v>
      </c>
      <c r="F742" s="499">
        <f t="shared" si="104"/>
        <v>6940</v>
      </c>
      <c r="G742" s="496">
        <v>42734</v>
      </c>
      <c r="H742" s="513">
        <v>1000</v>
      </c>
      <c r="I742" s="498">
        <v>17.72</v>
      </c>
      <c r="J742" s="499">
        <v>0.39</v>
      </c>
      <c r="K742" s="499">
        <f t="shared" si="102"/>
        <v>17719.61</v>
      </c>
      <c r="L742" s="497"/>
      <c r="M742" s="499"/>
    </row>
    <row r="743" spans="1:13" x14ac:dyDescent="0.25">
      <c r="A743" s="497"/>
      <c r="B743" s="545">
        <v>42671</v>
      </c>
      <c r="C743" s="497">
        <v>1000</v>
      </c>
      <c r="D743" s="498">
        <v>14.15</v>
      </c>
      <c r="E743" s="499">
        <v>0</v>
      </c>
      <c r="F743" s="499">
        <f t="shared" si="104"/>
        <v>14150</v>
      </c>
      <c r="G743" s="496">
        <v>42739</v>
      </c>
      <c r="H743" s="513">
        <v>500</v>
      </c>
      <c r="I743" s="498">
        <v>18.079999999999998</v>
      </c>
      <c r="J743" s="499">
        <v>0.2</v>
      </c>
      <c r="K743" s="499">
        <f t="shared" si="102"/>
        <v>9039.7999999999993</v>
      </c>
      <c r="L743" s="497"/>
      <c r="M743" s="499"/>
    </row>
    <row r="744" spans="1:13" x14ac:dyDescent="0.25">
      <c r="A744" s="497"/>
      <c r="B744" s="545">
        <v>42674</v>
      </c>
      <c r="C744" s="497">
        <v>300</v>
      </c>
      <c r="D744" s="498">
        <v>13.28</v>
      </c>
      <c r="E744" s="499">
        <v>-1.5</v>
      </c>
      <c r="F744" s="499">
        <f t="shared" si="104"/>
        <v>3982.5</v>
      </c>
      <c r="G744" s="496">
        <v>42748</v>
      </c>
      <c r="H744" s="513">
        <v>500</v>
      </c>
      <c r="I744" s="498">
        <v>17.48</v>
      </c>
      <c r="J744" s="499">
        <v>0.19</v>
      </c>
      <c r="K744" s="499">
        <f t="shared" si="102"/>
        <v>8739.81</v>
      </c>
      <c r="L744" s="497"/>
      <c r="M744" s="499"/>
    </row>
    <row r="745" spans="1:13" x14ac:dyDescent="0.25">
      <c r="A745" s="497"/>
      <c r="B745" s="545">
        <v>42674</v>
      </c>
      <c r="C745" s="497">
        <v>200</v>
      </c>
      <c r="D745" s="498">
        <v>13.15</v>
      </c>
      <c r="E745" s="499">
        <v>0.02</v>
      </c>
      <c r="F745" s="499">
        <f t="shared" si="104"/>
        <v>2630.02</v>
      </c>
      <c r="G745" s="496">
        <v>42761</v>
      </c>
      <c r="H745" s="513">
        <v>1000</v>
      </c>
      <c r="I745" s="498">
        <v>17.899999999999999</v>
      </c>
      <c r="J745" s="499">
        <v>0.39</v>
      </c>
      <c r="K745" s="499">
        <f t="shared" si="102"/>
        <v>17899.61</v>
      </c>
      <c r="L745" s="497"/>
      <c r="M745" s="499"/>
    </row>
    <row r="746" spans="1:13" x14ac:dyDescent="0.25">
      <c r="A746" s="497"/>
      <c r="B746" s="545">
        <v>42676</v>
      </c>
      <c r="C746" s="497">
        <v>200</v>
      </c>
      <c r="D746" s="498">
        <v>12.89</v>
      </c>
      <c r="E746" s="499">
        <v>0</v>
      </c>
      <c r="F746" s="499">
        <f t="shared" si="104"/>
        <v>2578</v>
      </c>
      <c r="G746" s="496">
        <v>42766</v>
      </c>
      <c r="H746" s="513">
        <v>300</v>
      </c>
      <c r="I746" s="498">
        <v>16.649999999999999</v>
      </c>
      <c r="J746" s="499">
        <v>0.11</v>
      </c>
      <c r="K746" s="499">
        <f t="shared" si="102"/>
        <v>4994.8900000000003</v>
      </c>
      <c r="L746" s="497"/>
      <c r="M746" s="499"/>
    </row>
    <row r="747" spans="1:13" x14ac:dyDescent="0.25">
      <c r="A747" s="497"/>
      <c r="B747" s="545">
        <v>42678</v>
      </c>
      <c r="C747" s="497">
        <v>500</v>
      </c>
      <c r="D747" s="498">
        <v>13.69</v>
      </c>
      <c r="E747" s="499">
        <v>0</v>
      </c>
      <c r="F747" s="499">
        <f t="shared" si="104"/>
        <v>6845</v>
      </c>
      <c r="G747" s="496">
        <v>42767</v>
      </c>
      <c r="H747" s="513">
        <v>612</v>
      </c>
      <c r="I747" s="498">
        <v>17.03</v>
      </c>
      <c r="J747" s="499">
        <v>0.23</v>
      </c>
      <c r="K747" s="499">
        <f t="shared" si="102"/>
        <v>10422.130000000001</v>
      </c>
      <c r="L747" s="497"/>
      <c r="M747" s="499"/>
    </row>
    <row r="748" spans="1:13" x14ac:dyDescent="0.25">
      <c r="A748" s="497"/>
      <c r="B748" s="545">
        <v>42678</v>
      </c>
      <c r="C748" s="497">
        <v>500</v>
      </c>
      <c r="D748" s="498">
        <v>13.69</v>
      </c>
      <c r="E748" s="499">
        <v>0</v>
      </c>
      <c r="F748" s="499">
        <f>C748*D748+E748</f>
        <v>6845</v>
      </c>
      <c r="G748" s="496">
        <v>42767</v>
      </c>
      <c r="H748" s="513">
        <v>288</v>
      </c>
      <c r="I748" s="498">
        <v>17.12</v>
      </c>
      <c r="J748" s="499">
        <v>0.11</v>
      </c>
      <c r="K748" s="499">
        <f t="shared" si="102"/>
        <v>4930.4500000000007</v>
      </c>
      <c r="L748" s="497"/>
      <c r="M748" s="499"/>
    </row>
    <row r="749" spans="1:13" x14ac:dyDescent="0.25">
      <c r="A749" s="497"/>
      <c r="B749" s="545">
        <v>42691</v>
      </c>
      <c r="C749" s="497">
        <v>150</v>
      </c>
      <c r="D749" s="498">
        <v>15.48</v>
      </c>
      <c r="E749" s="499">
        <v>0</v>
      </c>
      <c r="F749" s="499">
        <f t="shared" ref="F749:F765" si="105">C749*D749+E749</f>
        <v>2322</v>
      </c>
      <c r="G749" s="496">
        <v>42767</v>
      </c>
      <c r="H749" s="513">
        <v>700</v>
      </c>
      <c r="I749" s="498">
        <v>16.57</v>
      </c>
      <c r="J749" s="499">
        <v>0.25</v>
      </c>
      <c r="K749" s="499">
        <f t="shared" si="102"/>
        <v>11598.75</v>
      </c>
      <c r="L749" s="497"/>
      <c r="M749" s="499"/>
    </row>
    <row r="750" spans="1:13" x14ac:dyDescent="0.25">
      <c r="A750" s="497"/>
      <c r="B750" s="545">
        <v>42691</v>
      </c>
      <c r="C750" s="497">
        <v>300</v>
      </c>
      <c r="D750" s="498">
        <v>15.48</v>
      </c>
      <c r="E750" s="499">
        <v>0</v>
      </c>
      <c r="F750" s="499">
        <f t="shared" si="105"/>
        <v>4644</v>
      </c>
      <c r="G750" s="496">
        <v>42768</v>
      </c>
      <c r="H750" s="513">
        <v>200</v>
      </c>
      <c r="I750" s="498">
        <v>16.7</v>
      </c>
      <c r="J750" s="499">
        <v>7.0000000000000007E-2</v>
      </c>
      <c r="K750" s="499">
        <f t="shared" si="102"/>
        <v>3339.93</v>
      </c>
      <c r="L750" s="497"/>
      <c r="M750" s="499"/>
    </row>
    <row r="751" spans="1:13" x14ac:dyDescent="0.25">
      <c r="A751" s="497"/>
      <c r="B751" s="545">
        <v>42696</v>
      </c>
      <c r="C751" s="497">
        <v>1000</v>
      </c>
      <c r="D751" s="498">
        <v>16.12</v>
      </c>
      <c r="E751" s="499">
        <v>0</v>
      </c>
      <c r="F751" s="499">
        <f t="shared" si="105"/>
        <v>16120.000000000002</v>
      </c>
      <c r="G751" s="496">
        <v>42768</v>
      </c>
      <c r="H751" s="513">
        <v>500</v>
      </c>
      <c r="I751" s="498">
        <v>16.600000000000001</v>
      </c>
      <c r="J751" s="499">
        <v>-1.82</v>
      </c>
      <c r="K751" s="499">
        <f t="shared" si="102"/>
        <v>8301.82</v>
      </c>
      <c r="L751" s="497"/>
      <c r="M751" s="499"/>
    </row>
    <row r="752" spans="1:13" x14ac:dyDescent="0.25">
      <c r="A752" s="497"/>
      <c r="B752" s="545">
        <v>42699</v>
      </c>
      <c r="C752" s="497">
        <v>200</v>
      </c>
      <c r="D752" s="498">
        <v>16.28</v>
      </c>
      <c r="E752" s="499">
        <v>0</v>
      </c>
      <c r="F752" s="499">
        <f t="shared" si="105"/>
        <v>3256</v>
      </c>
      <c r="G752" s="496">
        <v>42768</v>
      </c>
      <c r="H752" s="513">
        <v>500</v>
      </c>
      <c r="I752" s="498">
        <v>16.75</v>
      </c>
      <c r="J752" s="499">
        <v>0.18</v>
      </c>
      <c r="K752" s="499">
        <f t="shared" si="102"/>
        <v>8374.82</v>
      </c>
      <c r="L752" s="497"/>
      <c r="M752" s="499"/>
    </row>
    <row r="753" spans="1:13" x14ac:dyDescent="0.25">
      <c r="A753" s="600"/>
      <c r="B753" s="545">
        <v>42699</v>
      </c>
      <c r="C753" s="497">
        <v>500</v>
      </c>
      <c r="D753" s="498">
        <v>16.16</v>
      </c>
      <c r="E753" s="499">
        <v>0</v>
      </c>
      <c r="F753" s="499">
        <f t="shared" si="105"/>
        <v>8080</v>
      </c>
      <c r="G753" s="496">
        <v>42769</v>
      </c>
      <c r="H753" s="601">
        <v>400</v>
      </c>
      <c r="I753" s="602">
        <v>16.95</v>
      </c>
      <c r="J753" s="603">
        <v>0.15</v>
      </c>
      <c r="K753" s="603">
        <f t="shared" si="102"/>
        <v>6779.85</v>
      </c>
      <c r="L753" s="497"/>
      <c r="M753" s="499"/>
    </row>
    <row r="754" spans="1:13" x14ac:dyDescent="0.25">
      <c r="A754" s="600"/>
      <c r="B754" s="545">
        <v>42702</v>
      </c>
      <c r="C754" s="497">
        <v>500</v>
      </c>
      <c r="D754" s="498">
        <v>16.059999999999999</v>
      </c>
      <c r="E754" s="499">
        <v>0</v>
      </c>
      <c r="F754" s="499">
        <f t="shared" si="105"/>
        <v>8029.9999999999991</v>
      </c>
      <c r="G754" s="496">
        <v>42769</v>
      </c>
      <c r="H754" s="601">
        <v>300</v>
      </c>
      <c r="I754" s="602">
        <v>17.32</v>
      </c>
      <c r="J754" s="603">
        <v>0.11</v>
      </c>
      <c r="K754" s="603">
        <f t="shared" si="102"/>
        <v>5195.8900000000003</v>
      </c>
      <c r="L754" s="497"/>
      <c r="M754" s="499"/>
    </row>
    <row r="755" spans="1:13" x14ac:dyDescent="0.25">
      <c r="A755" s="600"/>
      <c r="B755" s="545">
        <v>42702</v>
      </c>
      <c r="C755" s="497">
        <v>200</v>
      </c>
      <c r="D755" s="498">
        <v>15.8</v>
      </c>
      <c r="E755" s="499">
        <v>0</v>
      </c>
      <c r="F755" s="499">
        <f t="shared" si="105"/>
        <v>3160</v>
      </c>
      <c r="G755" s="496">
        <v>42781</v>
      </c>
      <c r="H755" s="513">
        <v>600</v>
      </c>
      <c r="I755" s="498">
        <v>16.52</v>
      </c>
      <c r="J755" s="499">
        <v>0.22</v>
      </c>
      <c r="K755" s="499">
        <f t="shared" si="102"/>
        <v>9911.7800000000007</v>
      </c>
      <c r="L755" s="497"/>
      <c r="M755" s="499"/>
    </row>
    <row r="756" spans="1:13" x14ac:dyDescent="0.25">
      <c r="A756" s="600"/>
      <c r="B756" s="545">
        <v>42702</v>
      </c>
      <c r="C756" s="497">
        <v>300</v>
      </c>
      <c r="D756" s="498">
        <v>15.65</v>
      </c>
      <c r="E756" s="499">
        <v>0</v>
      </c>
      <c r="F756" s="499">
        <f t="shared" si="105"/>
        <v>4695</v>
      </c>
      <c r="G756" s="496">
        <v>42781</v>
      </c>
      <c r="H756" s="513">
        <v>300</v>
      </c>
      <c r="I756" s="498">
        <v>16.440000000000001</v>
      </c>
      <c r="J756" s="499">
        <v>0.11</v>
      </c>
      <c r="K756" s="499">
        <f t="shared" si="102"/>
        <v>4931.8900000000003</v>
      </c>
      <c r="L756" s="497"/>
      <c r="M756" s="499"/>
    </row>
    <row r="757" spans="1:13" x14ac:dyDescent="0.25">
      <c r="A757" s="497"/>
      <c r="B757" s="545">
        <v>42703</v>
      </c>
      <c r="C757" s="497">
        <v>300</v>
      </c>
      <c r="D757" s="498">
        <v>14.78</v>
      </c>
      <c r="E757" s="499">
        <v>0</v>
      </c>
      <c r="F757" s="499">
        <f t="shared" si="105"/>
        <v>4434</v>
      </c>
      <c r="G757" s="496">
        <v>42782</v>
      </c>
      <c r="H757" s="513">
        <v>300</v>
      </c>
      <c r="I757" s="498">
        <v>17</v>
      </c>
      <c r="J757" s="499">
        <v>0.11</v>
      </c>
      <c r="K757" s="499">
        <f t="shared" si="102"/>
        <v>5099.8900000000003</v>
      </c>
      <c r="L757" s="497"/>
      <c r="M757" s="499"/>
    </row>
    <row r="758" spans="1:13" x14ac:dyDescent="0.25">
      <c r="A758" s="497"/>
      <c r="B758" s="545">
        <v>42705</v>
      </c>
      <c r="C758" s="497">
        <v>350</v>
      </c>
      <c r="D758" s="498">
        <v>17.600000000000001</v>
      </c>
      <c r="E758" s="499">
        <v>0</v>
      </c>
      <c r="F758" s="499">
        <f t="shared" si="105"/>
        <v>6160.0000000000009</v>
      </c>
      <c r="G758" s="497"/>
      <c r="H758" s="513"/>
      <c r="I758" s="498"/>
      <c r="J758" s="499"/>
      <c r="K758" s="499"/>
      <c r="L758" s="497"/>
      <c r="M758" s="499"/>
    </row>
    <row r="759" spans="1:13" x14ac:dyDescent="0.25">
      <c r="A759" s="497"/>
      <c r="B759" s="545">
        <v>42711</v>
      </c>
      <c r="C759" s="497">
        <v>500</v>
      </c>
      <c r="D759" s="498">
        <v>18.12</v>
      </c>
      <c r="E759" s="499">
        <v>0</v>
      </c>
      <c r="F759" s="499">
        <f t="shared" si="105"/>
        <v>9060</v>
      </c>
      <c r="G759" s="497"/>
      <c r="H759" s="513"/>
      <c r="I759" s="498"/>
      <c r="J759" s="499"/>
      <c r="K759" s="499"/>
      <c r="L759" s="497"/>
      <c r="M759" s="499"/>
    </row>
    <row r="760" spans="1:13" x14ac:dyDescent="0.25">
      <c r="A760" s="497"/>
      <c r="B760" s="545">
        <v>42713</v>
      </c>
      <c r="C760" s="497">
        <v>500</v>
      </c>
      <c r="D760" s="498">
        <v>18.12</v>
      </c>
      <c r="E760" s="499">
        <v>0</v>
      </c>
      <c r="F760" s="499">
        <f t="shared" si="105"/>
        <v>9060</v>
      </c>
      <c r="G760" s="497"/>
      <c r="H760" s="513"/>
      <c r="I760" s="498"/>
      <c r="J760" s="499"/>
      <c r="K760" s="499"/>
      <c r="L760" s="497"/>
      <c r="M760" s="499"/>
    </row>
    <row r="761" spans="1:13" x14ac:dyDescent="0.25">
      <c r="A761" s="497"/>
      <c r="B761" s="545">
        <v>42718</v>
      </c>
      <c r="C761" s="497">
        <v>200</v>
      </c>
      <c r="D761" s="498">
        <v>18.73</v>
      </c>
      <c r="E761" s="499">
        <v>-1</v>
      </c>
      <c r="F761" s="499">
        <f t="shared" si="105"/>
        <v>3745</v>
      </c>
      <c r="G761" s="497"/>
      <c r="H761" s="513"/>
      <c r="I761" s="498"/>
      <c r="J761" s="499"/>
      <c r="K761" s="499"/>
      <c r="L761" s="497"/>
      <c r="M761" s="499"/>
    </row>
    <row r="762" spans="1:13" x14ac:dyDescent="0.25">
      <c r="A762" s="497"/>
      <c r="B762" s="545">
        <v>42733</v>
      </c>
      <c r="C762" s="497">
        <v>1000</v>
      </c>
      <c r="D762" s="498">
        <v>17.64</v>
      </c>
      <c r="E762" s="499">
        <v>-1.5</v>
      </c>
      <c r="F762" s="499">
        <f t="shared" si="105"/>
        <v>17638.5</v>
      </c>
      <c r="G762" s="497"/>
      <c r="H762" s="513"/>
      <c r="I762" s="498"/>
      <c r="J762" s="499"/>
      <c r="K762" s="499"/>
      <c r="L762" s="497"/>
      <c r="M762" s="499"/>
    </row>
    <row r="763" spans="1:13" x14ac:dyDescent="0.25">
      <c r="A763" s="497"/>
      <c r="B763" s="545">
        <v>42734</v>
      </c>
      <c r="C763" s="497">
        <v>1000</v>
      </c>
      <c r="D763" s="498">
        <v>17.329999999999998</v>
      </c>
      <c r="E763" s="499">
        <v>0</v>
      </c>
      <c r="F763" s="499">
        <f t="shared" si="105"/>
        <v>17330</v>
      </c>
      <c r="G763" s="497"/>
      <c r="H763" s="513"/>
      <c r="I763" s="498"/>
      <c r="J763" s="499"/>
      <c r="K763" s="499"/>
      <c r="L763" s="497"/>
      <c r="M763" s="499"/>
    </row>
    <row r="764" spans="1:13" x14ac:dyDescent="0.25">
      <c r="A764" s="497"/>
      <c r="B764" s="545">
        <v>42741</v>
      </c>
      <c r="C764" s="497">
        <v>500</v>
      </c>
      <c r="D764" s="498">
        <v>17.88</v>
      </c>
      <c r="E764" s="499">
        <v>0</v>
      </c>
      <c r="F764" s="499">
        <f t="shared" si="105"/>
        <v>8940</v>
      </c>
      <c r="G764" s="497"/>
      <c r="H764" s="513"/>
      <c r="I764" s="498"/>
      <c r="J764" s="499"/>
      <c r="K764" s="499"/>
      <c r="L764" s="497"/>
      <c r="M764" s="499"/>
    </row>
    <row r="765" spans="1:13" x14ac:dyDescent="0.25">
      <c r="A765" s="497"/>
      <c r="B765" s="545">
        <v>42748</v>
      </c>
      <c r="C765" s="497">
        <v>500</v>
      </c>
      <c r="D765" s="498">
        <v>17.260000000000002</v>
      </c>
      <c r="E765" s="499">
        <v>0</v>
      </c>
      <c r="F765" s="499">
        <f t="shared" si="105"/>
        <v>8630</v>
      </c>
      <c r="G765" s="497"/>
      <c r="H765" s="513"/>
      <c r="I765" s="498"/>
      <c r="J765" s="499"/>
      <c r="K765" s="499"/>
      <c r="L765" s="497"/>
      <c r="M765" s="499"/>
    </row>
    <row r="766" spans="1:13" x14ac:dyDescent="0.25">
      <c r="A766" s="497"/>
      <c r="B766" s="545"/>
      <c r="C766" s="497"/>
      <c r="D766" s="498"/>
      <c r="E766" s="499"/>
      <c r="F766" s="499"/>
      <c r="G766" s="497"/>
      <c r="H766" s="513"/>
      <c r="I766" s="498"/>
      <c r="J766" s="499"/>
      <c r="K766" s="499"/>
      <c r="L766" s="497"/>
      <c r="M766" s="499"/>
    </row>
    <row r="767" spans="1:13" x14ac:dyDescent="0.25">
      <c r="A767" s="497"/>
      <c r="B767" s="545"/>
      <c r="C767" s="497"/>
      <c r="D767" s="498"/>
      <c r="E767" s="499"/>
      <c r="F767" s="499"/>
      <c r="G767" s="497"/>
      <c r="H767" s="513"/>
      <c r="I767" s="498"/>
      <c r="J767" s="499"/>
      <c r="K767" s="499"/>
      <c r="L767" s="497"/>
      <c r="M767" s="499"/>
    </row>
    <row r="768" spans="1:13" x14ac:dyDescent="0.25">
      <c r="A768" s="599"/>
      <c r="B768" s="545"/>
      <c r="C768" s="497"/>
      <c r="D768" s="498"/>
      <c r="E768" s="499"/>
      <c r="F768" s="499"/>
      <c r="G768" s="497"/>
      <c r="H768" s="513"/>
      <c r="I768" s="498"/>
      <c r="J768" s="499"/>
      <c r="K768" s="499"/>
      <c r="L768" s="497"/>
      <c r="M768" s="499"/>
    </row>
    <row r="769" spans="1:13" x14ac:dyDescent="0.25">
      <c r="A769" s="599"/>
      <c r="B769" s="545"/>
      <c r="C769" s="497"/>
      <c r="D769" s="498"/>
      <c r="E769" s="499"/>
      <c r="F769" s="499"/>
      <c r="G769" s="497"/>
      <c r="H769" s="513"/>
      <c r="I769" s="498"/>
      <c r="J769" s="499"/>
      <c r="K769" s="499"/>
      <c r="L769" s="497"/>
      <c r="M769" s="499"/>
    </row>
    <row r="770" spans="1:13" x14ac:dyDescent="0.25">
      <c r="A770" s="599"/>
      <c r="B770" s="545"/>
      <c r="C770" s="497"/>
      <c r="D770" s="498"/>
      <c r="E770" s="499"/>
      <c r="F770" s="499"/>
      <c r="G770" s="497"/>
      <c r="H770" s="513"/>
      <c r="I770" s="498"/>
      <c r="J770" s="499"/>
      <c r="K770" s="499"/>
      <c r="L770" s="497"/>
      <c r="M770" s="499"/>
    </row>
    <row r="771" spans="1:13" x14ac:dyDescent="0.25">
      <c r="A771" s="599"/>
      <c r="B771" s="545"/>
      <c r="C771" s="497"/>
      <c r="D771" s="498"/>
      <c r="E771" s="499"/>
      <c r="F771" s="499"/>
      <c r="G771" s="497"/>
      <c r="H771" s="513"/>
      <c r="I771" s="498"/>
      <c r="J771" s="499"/>
      <c r="K771" s="499"/>
      <c r="L771" s="497"/>
      <c r="M771" s="499"/>
    </row>
    <row r="772" spans="1:13" x14ac:dyDescent="0.25">
      <c r="A772" s="497"/>
      <c r="B772" s="545"/>
      <c r="C772" s="497"/>
      <c r="D772" s="498"/>
      <c r="E772" s="499"/>
      <c r="F772" s="499"/>
      <c r="G772" s="497"/>
      <c r="H772" s="513"/>
      <c r="I772" s="498"/>
      <c r="J772" s="499"/>
      <c r="K772" s="499"/>
      <c r="L772" s="497"/>
      <c r="M772" s="499"/>
    </row>
    <row r="773" spans="1:13" x14ac:dyDescent="0.25">
      <c r="A773" s="497"/>
      <c r="B773" s="545"/>
      <c r="C773" s="497"/>
      <c r="D773" s="498"/>
      <c r="E773" s="499"/>
      <c r="F773" s="499"/>
      <c r="G773" s="497"/>
      <c r="H773" s="513"/>
      <c r="I773" s="498"/>
      <c r="J773" s="499"/>
      <c r="K773" s="499"/>
      <c r="L773" s="497"/>
      <c r="M773" s="499"/>
    </row>
    <row r="774" spans="1:13" x14ac:dyDescent="0.25">
      <c r="A774" s="497"/>
      <c r="B774" s="545"/>
      <c r="C774" s="497"/>
      <c r="D774" s="498"/>
      <c r="E774" s="499"/>
      <c r="F774" s="499"/>
      <c r="G774" s="497"/>
      <c r="H774" s="513"/>
      <c r="I774" s="498"/>
      <c r="J774" s="499"/>
      <c r="K774" s="499"/>
      <c r="L774" s="497"/>
      <c r="M774" s="499"/>
    </row>
    <row r="775" spans="1:13" x14ac:dyDescent="0.25">
      <c r="A775" s="497"/>
      <c r="B775" s="545"/>
      <c r="C775" s="497"/>
      <c r="D775" s="498"/>
      <c r="E775" s="499"/>
      <c r="F775" s="499"/>
      <c r="G775" s="497"/>
      <c r="H775" s="513"/>
      <c r="I775" s="498"/>
      <c r="J775" s="499"/>
      <c r="K775" s="499"/>
      <c r="L775" s="497"/>
      <c r="M775" s="499"/>
    </row>
    <row r="776" spans="1:13" x14ac:dyDescent="0.25">
      <c r="A776" s="497"/>
      <c r="B776" s="545"/>
      <c r="C776" s="497"/>
      <c r="D776" s="498"/>
      <c r="E776" s="499"/>
      <c r="F776" s="499"/>
      <c r="G776" s="497"/>
      <c r="H776" s="513"/>
      <c r="I776" s="498"/>
      <c r="J776" s="499"/>
      <c r="K776" s="499"/>
      <c r="L776" s="497"/>
      <c r="M776" s="499"/>
    </row>
    <row r="777" spans="1:13" x14ac:dyDescent="0.25">
      <c r="A777" s="497"/>
      <c r="B777" s="545"/>
      <c r="C777" s="497"/>
      <c r="D777" s="498"/>
      <c r="E777" s="499"/>
      <c r="F777" s="499"/>
      <c r="G777" s="497"/>
      <c r="H777" s="513"/>
      <c r="I777" s="498"/>
      <c r="J777" s="499"/>
      <c r="K777" s="499"/>
      <c r="L777" s="497"/>
      <c r="M777" s="499"/>
    </row>
    <row r="778" spans="1:13" x14ac:dyDescent="0.25">
      <c r="A778" s="497"/>
      <c r="B778" s="545"/>
      <c r="C778" s="497"/>
      <c r="D778" s="498"/>
      <c r="E778" s="499"/>
      <c r="F778" s="499"/>
      <c r="G778" s="497"/>
      <c r="H778" s="513"/>
      <c r="I778" s="498"/>
      <c r="J778" s="499"/>
      <c r="K778" s="499"/>
      <c r="L778" s="497"/>
      <c r="M778" s="499"/>
    </row>
    <row r="779" spans="1:13" x14ac:dyDescent="0.25">
      <c r="A779" s="497"/>
      <c r="B779" s="545"/>
      <c r="C779" s="497"/>
      <c r="D779" s="498"/>
      <c r="E779" s="499"/>
      <c r="F779" s="499"/>
      <c r="G779" s="497"/>
      <c r="H779" s="513"/>
      <c r="I779" s="498"/>
      <c r="J779" s="499"/>
      <c r="K779" s="499"/>
      <c r="L779" s="497"/>
      <c r="M779" s="499"/>
    </row>
    <row r="780" spans="1:13" x14ac:dyDescent="0.25">
      <c r="A780" s="497"/>
      <c r="B780" s="545"/>
      <c r="C780" s="497"/>
      <c r="D780" s="498"/>
      <c r="E780" s="499"/>
      <c r="F780" s="499"/>
      <c r="G780" s="497"/>
      <c r="H780" s="513"/>
      <c r="I780" s="498"/>
      <c r="J780" s="499"/>
      <c r="K780" s="499"/>
      <c r="L780" s="497"/>
      <c r="M780" s="499"/>
    </row>
    <row r="781" spans="1:13" x14ac:dyDescent="0.25">
      <c r="A781" s="497"/>
      <c r="B781" s="545"/>
      <c r="C781" s="497"/>
      <c r="D781" s="498"/>
      <c r="E781" s="499"/>
      <c r="F781" s="499"/>
      <c r="G781" s="497"/>
      <c r="H781" s="513"/>
      <c r="I781" s="498"/>
      <c r="J781" s="499"/>
      <c r="K781" s="499"/>
      <c r="L781" s="497"/>
      <c r="M781" s="499"/>
    </row>
    <row r="782" spans="1:13" x14ac:dyDescent="0.25">
      <c r="A782" s="497"/>
      <c r="B782" s="545"/>
      <c r="C782" s="497"/>
      <c r="D782" s="498"/>
      <c r="E782" s="499"/>
      <c r="F782" s="499"/>
      <c r="G782" s="497"/>
      <c r="H782" s="513"/>
      <c r="I782" s="498"/>
      <c r="J782" s="499"/>
      <c r="K782" s="499"/>
      <c r="L782" s="497"/>
      <c r="M782" s="499"/>
    </row>
    <row r="783" spans="1:13" x14ac:dyDescent="0.25">
      <c r="A783" s="497"/>
      <c r="B783" s="545"/>
      <c r="C783" s="497"/>
      <c r="D783" s="498"/>
      <c r="E783" s="499"/>
      <c r="F783" s="499"/>
      <c r="G783" s="497"/>
      <c r="H783" s="513"/>
      <c r="I783" s="498"/>
      <c r="J783" s="499"/>
      <c r="K783" s="499"/>
      <c r="L783" s="497"/>
      <c r="M783" s="499"/>
    </row>
    <row r="784" spans="1:13" x14ac:dyDescent="0.25">
      <c r="A784" s="497"/>
      <c r="B784" s="545"/>
      <c r="C784" s="497"/>
      <c r="D784" s="498"/>
      <c r="E784" s="499"/>
      <c r="F784" s="499"/>
      <c r="G784" s="497"/>
      <c r="H784" s="513"/>
      <c r="I784" s="498"/>
      <c r="J784" s="499"/>
      <c r="K784" s="499"/>
      <c r="L784" s="497"/>
      <c r="M784" s="499"/>
    </row>
    <row r="785" spans="1:13" x14ac:dyDescent="0.25">
      <c r="A785" s="497"/>
      <c r="B785" s="545"/>
      <c r="C785" s="497"/>
      <c r="D785" s="498"/>
      <c r="E785" s="499"/>
      <c r="F785" s="499"/>
      <c r="G785" s="497"/>
      <c r="H785" s="513"/>
      <c r="I785" s="498"/>
      <c r="J785" s="499"/>
      <c r="K785" s="499"/>
      <c r="L785" s="497"/>
      <c r="M785" s="499"/>
    </row>
    <row r="786" spans="1:13" x14ac:dyDescent="0.25">
      <c r="A786" s="497"/>
      <c r="B786" s="545"/>
      <c r="C786" s="497"/>
      <c r="D786" s="498"/>
      <c r="E786" s="499"/>
      <c r="F786" s="499"/>
      <c r="G786" s="497"/>
      <c r="H786" s="513"/>
      <c r="I786" s="498"/>
      <c r="J786" s="499"/>
      <c r="K786" s="499"/>
      <c r="L786" s="497"/>
      <c r="M786" s="499"/>
    </row>
    <row r="787" spans="1:13" x14ac:dyDescent="0.25">
      <c r="A787" s="497"/>
      <c r="B787" s="545"/>
      <c r="C787" s="497"/>
      <c r="D787" s="498"/>
      <c r="E787" s="499"/>
      <c r="F787" s="499"/>
      <c r="G787" s="497"/>
      <c r="H787" s="513"/>
      <c r="I787" s="498"/>
      <c r="J787" s="499"/>
      <c r="K787" s="499"/>
      <c r="L787" s="497"/>
      <c r="M787" s="499"/>
    </row>
    <row r="788" spans="1:13" x14ac:dyDescent="0.25">
      <c r="A788" s="497"/>
      <c r="B788" s="545"/>
      <c r="C788" s="497"/>
      <c r="D788" s="498"/>
      <c r="E788" s="499"/>
      <c r="F788" s="499"/>
      <c r="G788" s="497"/>
      <c r="H788" s="513"/>
      <c r="I788" s="498"/>
      <c r="J788" s="499"/>
      <c r="K788" s="499"/>
      <c r="L788" s="497"/>
      <c r="M788" s="499"/>
    </row>
    <row r="789" spans="1:13" x14ac:dyDescent="0.25">
      <c r="A789" s="515" t="s">
        <v>81</v>
      </c>
      <c r="B789" s="604"/>
      <c r="C789" s="538">
        <f>SUM(C528:C788)</f>
        <v>133812</v>
      </c>
      <c r="D789" s="517"/>
      <c r="E789" s="517"/>
      <c r="F789" s="517">
        <f>SUM(F528:F788)</f>
        <v>1899450.8389999999</v>
      </c>
      <c r="G789" s="516"/>
      <c r="H789" s="538">
        <f>SUM(H528:H788)</f>
        <v>133812</v>
      </c>
      <c r="I789" s="605"/>
      <c r="J789" s="517"/>
      <c r="K789" s="517">
        <f>SUM(K528:K788)</f>
        <v>1911314.2100000016</v>
      </c>
      <c r="L789" s="516"/>
      <c r="M789" s="517">
        <f>SUM(M528:M538)</f>
        <v>2752.2000000000003</v>
      </c>
    </row>
    <row r="790" spans="1:13" ht="15.75" thickBot="1" x14ac:dyDescent="0.3">
      <c r="A790" s="518" t="s">
        <v>193</v>
      </c>
      <c r="B790" s="606"/>
      <c r="C790" s="520">
        <f>SumByColor($A$97, C528:C788)</f>
        <v>0</v>
      </c>
      <c r="D790" s="520"/>
      <c r="E790" s="520"/>
      <c r="F790" s="521">
        <f>SumByColor($A$97, F528:F788)</f>
        <v>0</v>
      </c>
      <c r="G790" s="520"/>
      <c r="H790" s="520">
        <f>SumByColor($A$97, H528:H788)</f>
        <v>0</v>
      </c>
      <c r="I790" s="520"/>
      <c r="J790" s="521"/>
      <c r="K790" s="521">
        <f>SumByColor($A$97, K528:K788)</f>
        <v>0</v>
      </c>
      <c r="L790" s="520"/>
      <c r="M790" s="521">
        <f>SumByColor($A$97, M528:M788)</f>
        <v>0</v>
      </c>
    </row>
    <row r="791" spans="1:13" x14ac:dyDescent="0.25">
      <c r="A791" s="497"/>
      <c r="B791" s="545"/>
      <c r="C791" s="497"/>
      <c r="D791" s="498"/>
      <c r="E791" s="499"/>
      <c r="F791" s="499"/>
      <c r="G791" s="497"/>
      <c r="H791" s="513"/>
      <c r="I791" s="498"/>
      <c r="J791" s="499"/>
      <c r="K791" s="499"/>
      <c r="L791" s="497"/>
      <c r="M791" s="499"/>
    </row>
  </sheetData>
  <mergeCells count="3">
    <mergeCell ref="O23:P23"/>
    <mergeCell ref="A80:A82"/>
    <mergeCell ref="A87:A89"/>
  </mergeCells>
  <conditionalFormatting sqref="F274:F292 H274:H292 H427 F427 H498:H522 F498:F522 K109:K207 F119:F208 H119:H208 K216 K263:K264 H263:H264 F263:F264">
    <cfRule type="expression" dxfId="2148" priority="163">
      <formula>F109&gt;0</formula>
    </cfRule>
    <cfRule type="expression" dxfId="2147" priority="164">
      <formula>F109&lt;0</formula>
    </cfRule>
  </conditionalFormatting>
  <conditionalFormatting sqref="O24:O61"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5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58">
      <iconSet iconSet="3Arrows">
        <cfvo type="percent" val="0"/>
        <cfvo type="num" val="0"/>
        <cfvo type="num" val="0"/>
      </iconSet>
    </cfRule>
  </conditionalFormatting>
  <conditionalFormatting sqref="F267:F273">
    <cfRule type="expression" dxfId="2146" priority="156">
      <formula>F267&gt;0</formula>
    </cfRule>
    <cfRule type="expression" dxfId="2145" priority="157">
      <formula>F267&lt;0</formula>
    </cfRule>
  </conditionalFormatting>
  <conditionalFormatting sqref="H267:H273">
    <cfRule type="expression" dxfId="2144" priority="152">
      <formula>H267&gt;0</formula>
    </cfRule>
    <cfRule type="expression" dxfId="2143" priority="153">
      <formula>H267&lt;0</formula>
    </cfRule>
  </conditionalFormatting>
  <conditionalFormatting sqref="Q8">
    <cfRule type="expression" dxfId="2142" priority="138">
      <formula>Q8&gt;0</formula>
    </cfRule>
    <cfRule type="expression" dxfId="2141" priority="139">
      <formula>Q8&lt;0</formula>
    </cfRule>
  </conditionalFormatting>
  <conditionalFormatting sqref="Q7">
    <cfRule type="expression" dxfId="2140" priority="140">
      <formula>Q7&gt;0</formula>
    </cfRule>
    <cfRule type="expression" dxfId="2139" priority="141">
      <formula>Q7&lt;0</formula>
    </cfRule>
  </conditionalFormatting>
  <conditionalFormatting sqref="F375:F381">
    <cfRule type="expression" dxfId="2138" priority="112">
      <formula>F375&gt;0</formula>
    </cfRule>
    <cfRule type="expression" dxfId="2137" priority="113">
      <formula>F375&lt;0</formula>
    </cfRule>
  </conditionalFormatting>
  <conditionalFormatting sqref="F300:F318 H300:H318">
    <cfRule type="expression" dxfId="2136" priority="134">
      <formula>F300&gt;0</formula>
    </cfRule>
    <cfRule type="expression" dxfId="2135" priority="135">
      <formula>F300&lt;0</formula>
    </cfRule>
  </conditionalFormatting>
  <conditionalFormatting sqref="F293:F299">
    <cfRule type="expression" dxfId="2134" priority="132">
      <formula>F293&gt;0</formula>
    </cfRule>
    <cfRule type="expression" dxfId="2133" priority="133">
      <formula>F293&lt;0</formula>
    </cfRule>
  </conditionalFormatting>
  <conditionalFormatting sqref="H293:H299">
    <cfRule type="expression" dxfId="2132" priority="130">
      <formula>H293&gt;0</formula>
    </cfRule>
    <cfRule type="expression" dxfId="2131" priority="131">
      <formula>H293&lt;0</formula>
    </cfRule>
  </conditionalFormatting>
  <conditionalFormatting sqref="F326:F344 H326:H344">
    <cfRule type="expression" dxfId="2130" priority="128">
      <formula>F326&gt;0</formula>
    </cfRule>
    <cfRule type="expression" dxfId="2129" priority="129">
      <formula>F326&lt;0</formula>
    </cfRule>
  </conditionalFormatting>
  <conditionalFormatting sqref="F319:F325">
    <cfRule type="expression" dxfId="2128" priority="126">
      <formula>F319&gt;0</formula>
    </cfRule>
    <cfRule type="expression" dxfId="2127" priority="127">
      <formula>F319&lt;0</formula>
    </cfRule>
  </conditionalFormatting>
  <conditionalFormatting sqref="H319:H325">
    <cfRule type="expression" dxfId="2126" priority="124">
      <formula>H319&gt;0</formula>
    </cfRule>
    <cfRule type="expression" dxfId="2125" priority="125">
      <formula>H319&lt;0</formula>
    </cfRule>
  </conditionalFormatting>
  <conditionalFormatting sqref="F352:F369 H352:H369">
    <cfRule type="expression" dxfId="2124" priority="122">
      <formula>F352&gt;0</formula>
    </cfRule>
    <cfRule type="expression" dxfId="2123" priority="123">
      <formula>F352&lt;0</formula>
    </cfRule>
  </conditionalFormatting>
  <conditionalFormatting sqref="F345:F351">
    <cfRule type="expression" dxfId="2122" priority="120">
      <formula>F345&gt;0</formula>
    </cfRule>
    <cfRule type="expression" dxfId="2121" priority="121">
      <formula>F345&lt;0</formula>
    </cfRule>
  </conditionalFormatting>
  <conditionalFormatting sqref="H345:H351">
    <cfRule type="expression" dxfId="2120" priority="118">
      <formula>H345&gt;0</formula>
    </cfRule>
    <cfRule type="expression" dxfId="2119" priority="119">
      <formula>H345&lt;0</formula>
    </cfRule>
  </conditionalFormatting>
  <conditionalFormatting sqref="F370:F374 H370:H374">
    <cfRule type="expression" dxfId="2118" priority="116">
      <formula>F370&gt;0</formula>
    </cfRule>
    <cfRule type="expression" dxfId="2117" priority="117">
      <formula>F370&lt;0</formula>
    </cfRule>
  </conditionalFormatting>
  <conditionalFormatting sqref="F382:F397 H382:H397">
    <cfRule type="expression" dxfId="2116" priority="114">
      <formula>F382&gt;0</formula>
    </cfRule>
    <cfRule type="expression" dxfId="2115" priority="115">
      <formula>F382&lt;0</formula>
    </cfRule>
  </conditionalFormatting>
  <conditionalFormatting sqref="H375:H381">
    <cfRule type="expression" dxfId="2114" priority="110">
      <formula>H375&gt;0</formula>
    </cfRule>
    <cfRule type="expression" dxfId="2113" priority="111">
      <formula>H375&lt;0</formula>
    </cfRule>
  </conditionalFormatting>
  <conditionalFormatting sqref="F398 H398">
    <cfRule type="expression" dxfId="2112" priority="108">
      <formula>F398&gt;0</formula>
    </cfRule>
    <cfRule type="expression" dxfId="2111" priority="109">
      <formula>F398&lt;0</formula>
    </cfRule>
  </conditionalFormatting>
  <conditionalFormatting sqref="F399:F403 H399:H403">
    <cfRule type="expression" dxfId="2110" priority="106">
      <formula>F399&gt;0</formula>
    </cfRule>
    <cfRule type="expression" dxfId="2109" priority="107">
      <formula>F399&lt;0</formula>
    </cfRule>
  </conditionalFormatting>
  <conditionalFormatting sqref="F411:F426 H411:H426">
    <cfRule type="expression" dxfId="2108" priority="104">
      <formula>F411&gt;0</formula>
    </cfRule>
    <cfRule type="expression" dxfId="2107" priority="105">
      <formula>F411&lt;0</formula>
    </cfRule>
  </conditionalFormatting>
  <conditionalFormatting sqref="F404:F410">
    <cfRule type="expression" dxfId="2106" priority="102">
      <formula>F404&gt;0</formula>
    </cfRule>
    <cfRule type="expression" dxfId="2105" priority="103">
      <formula>F404&lt;0</formula>
    </cfRule>
  </conditionalFormatting>
  <conditionalFormatting sqref="H404:H410">
    <cfRule type="expression" dxfId="2104" priority="100">
      <formula>H404&gt;0</formula>
    </cfRule>
    <cfRule type="expression" dxfId="2103" priority="101">
      <formula>H404&lt;0</formula>
    </cfRule>
  </conditionalFormatting>
  <conditionalFormatting sqref="F428:F433 H428:H433">
    <cfRule type="expression" dxfId="2102" priority="98">
      <formula>F428&gt;0</formula>
    </cfRule>
    <cfRule type="expression" dxfId="2101" priority="99">
      <formula>F428&lt;0</formula>
    </cfRule>
  </conditionalFormatting>
  <conditionalFormatting sqref="F434 H434">
    <cfRule type="expression" dxfId="2100" priority="96">
      <formula>F434&gt;0</formula>
    </cfRule>
    <cfRule type="expression" dxfId="2099" priority="97">
      <formula>F434&lt;0</formula>
    </cfRule>
  </conditionalFormatting>
  <conditionalFormatting sqref="F435:F439 H435:H439">
    <cfRule type="expression" dxfId="2098" priority="94">
      <formula>F435&gt;0</formula>
    </cfRule>
    <cfRule type="expression" dxfId="2097" priority="95">
      <formula>F435&lt;0</formula>
    </cfRule>
  </conditionalFormatting>
  <conditionalFormatting sqref="F447:F462 H447:H462">
    <cfRule type="expression" dxfId="2096" priority="92">
      <formula>F447&gt;0</formula>
    </cfRule>
    <cfRule type="expression" dxfId="2095" priority="93">
      <formula>F447&lt;0</formula>
    </cfRule>
  </conditionalFormatting>
  <conditionalFormatting sqref="F440:F446">
    <cfRule type="expression" dxfId="2094" priority="90">
      <formula>F440&gt;0</formula>
    </cfRule>
    <cfRule type="expression" dxfId="2093" priority="91">
      <formula>F440&lt;0</formula>
    </cfRule>
  </conditionalFormatting>
  <conditionalFormatting sqref="H440:H446">
    <cfRule type="expression" dxfId="2092" priority="88">
      <formula>H440&gt;0</formula>
    </cfRule>
    <cfRule type="expression" dxfId="2091" priority="89">
      <formula>H440&lt;0</formula>
    </cfRule>
  </conditionalFormatting>
  <conditionalFormatting sqref="F463:F468 H463:H468">
    <cfRule type="expression" dxfId="2090" priority="86">
      <formula>F463&gt;0</formula>
    </cfRule>
    <cfRule type="expression" dxfId="2089" priority="87">
      <formula>F463&lt;0</formula>
    </cfRule>
  </conditionalFormatting>
  <conditionalFormatting sqref="F469 H469">
    <cfRule type="expression" dxfId="2088" priority="84">
      <formula>F469&gt;0</formula>
    </cfRule>
    <cfRule type="expression" dxfId="2087" priority="85">
      <formula>F469&lt;0</formula>
    </cfRule>
  </conditionalFormatting>
  <conditionalFormatting sqref="F470:F474 H470:H474">
    <cfRule type="expression" dxfId="2086" priority="82">
      <formula>F470&gt;0</formula>
    </cfRule>
    <cfRule type="expression" dxfId="2085" priority="83">
      <formula>F470&lt;0</formula>
    </cfRule>
  </conditionalFormatting>
  <conditionalFormatting sqref="F482:F497 H482:H497">
    <cfRule type="expression" dxfId="2084" priority="80">
      <formula>F482&gt;0</formula>
    </cfRule>
    <cfRule type="expression" dxfId="2083" priority="81">
      <formula>F482&lt;0</formula>
    </cfRule>
  </conditionalFormatting>
  <conditionalFormatting sqref="F475:F481">
    <cfRule type="expression" dxfId="2082" priority="78">
      <formula>F475&gt;0</formula>
    </cfRule>
    <cfRule type="expression" dxfId="2081" priority="79">
      <formula>F475&lt;0</formula>
    </cfRule>
  </conditionalFormatting>
  <conditionalFormatting sqref="H475:H481">
    <cfRule type="expression" dxfId="2080" priority="76">
      <formula>H475&gt;0</formula>
    </cfRule>
    <cfRule type="expression" dxfId="2079" priority="77">
      <formula>H475&lt;0</formula>
    </cfRule>
  </conditionalFormatting>
  <conditionalFormatting sqref="M526">
    <cfRule type="expression" dxfId="2078" priority="74">
      <formula>M526&gt;0</formula>
    </cfRule>
    <cfRule type="expression" dxfId="2077" priority="75">
      <formula>M526&lt;0</formula>
    </cfRule>
  </conditionalFormatting>
  <conditionalFormatting sqref="F107:F118">
    <cfRule type="expression" dxfId="2076" priority="70">
      <formula>F107&gt;0</formula>
    </cfRule>
    <cfRule type="expression" dxfId="2075" priority="71">
      <formula>F107&lt;0</formula>
    </cfRule>
  </conditionalFormatting>
  <conditionalFormatting sqref="H107:H118">
    <cfRule type="expression" dxfId="2074" priority="68">
      <formula>H107&gt;0</formula>
    </cfRule>
    <cfRule type="expression" dxfId="2073" priority="69">
      <formula>H107&lt;0</formula>
    </cfRule>
  </conditionalFormatting>
  <conditionalFormatting sqref="F101:F106 H101:H106">
    <cfRule type="expression" dxfId="2072" priority="66">
      <formula>F101&gt;0</formula>
    </cfRule>
    <cfRule type="expression" dxfId="2071" priority="67">
      <formula>F101&lt;0</formula>
    </cfRule>
  </conditionalFormatting>
  <conditionalFormatting sqref="J103:K103">
    <cfRule type="expression" dxfId="2070" priority="64">
      <formula>J103&gt;0</formula>
    </cfRule>
    <cfRule type="expression" dxfId="2069" priority="65">
      <formula>J103&lt;0</formula>
    </cfRule>
  </conditionalFormatting>
  <conditionalFormatting sqref="J104:K110">
    <cfRule type="expression" dxfId="2068" priority="62">
      <formula>J104&gt;0</formula>
    </cfRule>
    <cfRule type="expression" dxfId="2067" priority="63">
      <formula>J104&lt;0</formula>
    </cfRule>
  </conditionalFormatting>
  <conditionalFormatting sqref="L103:L185 L192 L194">
    <cfRule type="expression" dxfId="2066" priority="58">
      <formula>L103&gt;0</formula>
    </cfRule>
    <cfRule type="expression" dxfId="2065" priority="59">
      <formula>L103&lt;0</formula>
    </cfRule>
  </conditionalFormatting>
  <conditionalFormatting sqref="Q10">
    <cfRule type="expression" dxfId="2064" priority="56">
      <formula>Q10&gt;0</formula>
    </cfRule>
    <cfRule type="expression" dxfId="2063" priority="57">
      <formula>Q10&lt;0</formula>
    </cfRule>
  </conditionalFormatting>
  <conditionalFormatting sqref="K214:K215 H214:H216 F214:F216">
    <cfRule type="expression" dxfId="2062" priority="53">
      <formula>F214&gt;0</formula>
    </cfRule>
    <cfRule type="expression" dxfId="2061" priority="54">
      <formula>F214&lt;0</formula>
    </cfRule>
  </conditionalFormatting>
  <conditionalFormatting sqref="K210:K212 H210:H212 F210:F212">
    <cfRule type="expression" dxfId="2060" priority="51">
      <formula>F210&gt;0</formula>
    </cfRule>
    <cfRule type="expression" dxfId="2059" priority="52">
      <formula>F210&lt;0</formula>
    </cfRule>
  </conditionalFormatting>
  <conditionalFormatting sqref="K208:K209 H209 F209">
    <cfRule type="expression" dxfId="2058" priority="49">
      <formula>F208&gt;0</formula>
    </cfRule>
    <cfRule type="expression" dxfId="2057" priority="50">
      <formula>F208&lt;0</formula>
    </cfRule>
  </conditionalFormatting>
  <conditionalFormatting sqref="K213 H213 F213">
    <cfRule type="expression" dxfId="2056" priority="47">
      <formula>F213&gt;0</formula>
    </cfRule>
    <cfRule type="expression" dxfId="2055" priority="48">
      <formula>F213&lt;0</formula>
    </cfRule>
  </conditionalFormatting>
  <conditionalFormatting sqref="K221:K222">
    <cfRule type="expression" dxfId="2054" priority="45">
      <formula>K221&gt;0</formula>
    </cfRule>
    <cfRule type="expression" dxfId="2053" priority="46">
      <formula>K221&lt;0</formula>
    </cfRule>
  </conditionalFormatting>
  <conditionalFormatting sqref="K219:K220 H219:H222 F219:F222">
    <cfRule type="expression" dxfId="2052" priority="43">
      <formula>F219&gt;0</formula>
    </cfRule>
    <cfRule type="expression" dxfId="2051" priority="44">
      <formula>F219&lt;0</formula>
    </cfRule>
  </conditionalFormatting>
  <conditionalFormatting sqref="H217:H218 F217:F218 K217:K218">
    <cfRule type="expression" dxfId="2050" priority="41">
      <formula>F217&gt;0</formula>
    </cfRule>
    <cfRule type="expression" dxfId="2049" priority="42">
      <formula>F217&lt;0</formula>
    </cfRule>
  </conditionalFormatting>
  <conditionalFormatting sqref="K243:K244 H244 F244">
    <cfRule type="expression" dxfId="2048" priority="39">
      <formula>F243&gt;0</formula>
    </cfRule>
    <cfRule type="expression" dxfId="2047" priority="40">
      <formula>F243&lt;0</formula>
    </cfRule>
  </conditionalFormatting>
  <conditionalFormatting sqref="K225:K226 H225:H227 F225:F227">
    <cfRule type="expression" dxfId="2046" priority="37">
      <formula>F225&gt;0</formula>
    </cfRule>
    <cfRule type="expression" dxfId="2045" priority="38">
      <formula>F225&lt;0</formula>
    </cfRule>
  </conditionalFormatting>
  <conditionalFormatting sqref="K223:K224 H223:H224 F223:F224">
    <cfRule type="expression" dxfId="2044" priority="35">
      <formula>F223&gt;0</formula>
    </cfRule>
    <cfRule type="expression" dxfId="2043" priority="36">
      <formula>F223&lt;0</formula>
    </cfRule>
  </conditionalFormatting>
  <conditionalFormatting sqref="K237:K238 H237:H239 F237:F239">
    <cfRule type="expression" dxfId="2042" priority="33">
      <formula>F237&gt;0</formula>
    </cfRule>
    <cfRule type="expression" dxfId="2041" priority="34">
      <formula>F237&lt;0</formula>
    </cfRule>
  </conditionalFormatting>
  <conditionalFormatting sqref="K235:K236 H236 F236">
    <cfRule type="expression" dxfId="2040" priority="31">
      <formula>F235&gt;0</formula>
    </cfRule>
    <cfRule type="expression" dxfId="2039" priority="32">
      <formula>F235&lt;0</formula>
    </cfRule>
  </conditionalFormatting>
  <conditionalFormatting sqref="K233:K234 H233:H235 F233:F235">
    <cfRule type="expression" dxfId="2038" priority="29">
      <formula>F233&gt;0</formula>
    </cfRule>
    <cfRule type="expression" dxfId="2037" priority="30">
      <formula>F233&lt;0</formula>
    </cfRule>
  </conditionalFormatting>
  <conditionalFormatting sqref="K231:K232 H232 F232">
    <cfRule type="expression" dxfId="2036" priority="27">
      <formula>F231&gt;0</formula>
    </cfRule>
    <cfRule type="expression" dxfId="2035" priority="28">
      <formula>F231&lt;0</formula>
    </cfRule>
  </conditionalFormatting>
  <conditionalFormatting sqref="K229:K230 H229:H231 F229:F231">
    <cfRule type="expression" dxfId="2034" priority="25">
      <formula>F229&gt;0</formula>
    </cfRule>
    <cfRule type="expression" dxfId="2033" priority="26">
      <formula>F229&lt;0</formula>
    </cfRule>
  </conditionalFormatting>
  <conditionalFormatting sqref="K227:K228 H228 F228">
    <cfRule type="expression" dxfId="2032" priority="23">
      <formula>F227&gt;0</formula>
    </cfRule>
    <cfRule type="expression" dxfId="2031" priority="24">
      <formula>F227&lt;0</formula>
    </cfRule>
  </conditionalFormatting>
  <conditionalFormatting sqref="K241:K242 H241:H243 F241:F243">
    <cfRule type="expression" dxfId="2030" priority="21">
      <formula>F241&gt;0</formula>
    </cfRule>
    <cfRule type="expression" dxfId="2029" priority="22">
      <formula>F241&lt;0</formula>
    </cfRule>
  </conditionalFormatting>
  <conditionalFormatting sqref="K239:K240 H240 F240">
    <cfRule type="expression" dxfId="2028" priority="19">
      <formula>F239&gt;0</formula>
    </cfRule>
    <cfRule type="expression" dxfId="2027" priority="20">
      <formula>F239&lt;0</formula>
    </cfRule>
  </conditionalFormatting>
  <conditionalFormatting sqref="K261:K262 H261:H262 F261:F262">
    <cfRule type="expression" dxfId="2026" priority="17">
      <formula>F261&gt;0</formula>
    </cfRule>
    <cfRule type="expression" dxfId="2025" priority="18">
      <formula>F261&lt;0</formula>
    </cfRule>
  </conditionalFormatting>
  <conditionalFormatting sqref="K247:K248 H248 F248">
    <cfRule type="expression" dxfId="2024" priority="15">
      <formula>F247&gt;0</formula>
    </cfRule>
    <cfRule type="expression" dxfId="2023" priority="16">
      <formula>F247&lt;0</formula>
    </cfRule>
  </conditionalFormatting>
  <conditionalFormatting sqref="K245:K246 H245:H247 F245:F247">
    <cfRule type="expression" dxfId="2022" priority="13">
      <formula>F245&gt;0</formula>
    </cfRule>
    <cfRule type="expression" dxfId="2021" priority="14">
      <formula>F245&lt;0</formula>
    </cfRule>
  </conditionalFormatting>
  <conditionalFormatting sqref="K259:K260 H259:H260 F259:F260">
    <cfRule type="expression" dxfId="2020" priority="11">
      <formula>F259&gt;0</formula>
    </cfRule>
    <cfRule type="expression" dxfId="2019" priority="12">
      <formula>F259&lt;0</formula>
    </cfRule>
  </conditionalFormatting>
  <conditionalFormatting sqref="K257:K258 H257:H258 F257:F258">
    <cfRule type="expression" dxfId="2018" priority="9">
      <formula>F257&gt;0</formula>
    </cfRule>
    <cfRule type="expression" dxfId="2017" priority="10">
      <formula>F257&lt;0</formula>
    </cfRule>
  </conditionalFormatting>
  <conditionalFormatting sqref="K255:K256 H255:H256 F255:F256">
    <cfRule type="expression" dxfId="2016" priority="7">
      <formula>F255&gt;0</formula>
    </cfRule>
    <cfRule type="expression" dxfId="2015" priority="8">
      <formula>F255&lt;0</formula>
    </cfRule>
  </conditionalFormatting>
  <conditionalFormatting sqref="K253:K254 H253:H254 F253:F254">
    <cfRule type="expression" dxfId="2014" priority="5">
      <formula>F253&gt;0</formula>
    </cfRule>
    <cfRule type="expression" dxfId="2013" priority="6">
      <formula>F253&lt;0</formula>
    </cfRule>
  </conditionalFormatting>
  <conditionalFormatting sqref="K251:K252">
    <cfRule type="expression" dxfId="2012" priority="3">
      <formula>K251&gt;0</formula>
    </cfRule>
    <cfRule type="expression" dxfId="2011" priority="4">
      <formula>K251&lt;0</formula>
    </cfRule>
  </conditionalFormatting>
  <conditionalFormatting sqref="K249:K250 H249:H252 F249:F252">
    <cfRule type="expression" dxfId="2010" priority="1">
      <formula>F249&gt;0</formula>
    </cfRule>
    <cfRule type="expression" dxfId="2009" priority="2">
      <formula>F249&lt;0</formula>
    </cfRule>
  </conditionalFormatting>
  <hyperlinks>
    <hyperlink ref="A3" location="ACTIVE!A1" display="Back"/>
    <hyperlink ref="A52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1095</v>
      </c>
      <c r="Z1" s="11" t="s">
        <v>1093</v>
      </c>
      <c r="AA1" s="11" t="s">
        <v>1094</v>
      </c>
      <c r="AB1" s="11" t="s">
        <v>1096</v>
      </c>
      <c r="AC1" s="11" t="s">
        <v>1093</v>
      </c>
      <c r="AD1" s="11" t="s">
        <v>1094</v>
      </c>
      <c r="AE1" s="11" t="s">
        <v>1097</v>
      </c>
      <c r="AF1" s="11" t="s">
        <v>1093</v>
      </c>
      <c r="AG1" s="11" t="s">
        <v>1094</v>
      </c>
      <c r="AH1" s="11" t="s">
        <v>1098</v>
      </c>
      <c r="AI1" s="11" t="s">
        <v>1093</v>
      </c>
      <c r="AJ1" s="11" t="s">
        <v>1094</v>
      </c>
      <c r="AK1" s="11" t="s">
        <v>1099</v>
      </c>
      <c r="AM1" s="11" t="s">
        <v>1100</v>
      </c>
      <c r="AO1" s="11" t="s">
        <v>1101</v>
      </c>
    </row>
    <row r="2" spans="1:41" x14ac:dyDescent="0.25">
      <c r="A2" s="6" t="s">
        <v>773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8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400</v>
      </c>
      <c r="T2" s="1">
        <v>43103</v>
      </c>
      <c r="U2" t="s">
        <v>834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215</v>
      </c>
      <c r="AJ2">
        <f>$Q$2*$Q$4</f>
        <v>5223.96</v>
      </c>
      <c r="AK2">
        <f ca="1">AJ2*EXP(-$X$2 * AI2/365.25)</f>
        <v>5223.96</v>
      </c>
      <c r="AM2" s="2">
        <f>Q10</f>
        <v>0</v>
      </c>
      <c r="AO2">
        <f ca="1" xml:space="preserve"> (SUM(AB:AB) - SUM(AE:AE) - SUM(AH:AH) - SUM(AK:AK))/SUM(AB:AB)</f>
        <v>6.0872001084353707E-2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>H3*I3-J3</f>
        <v>1508.97</v>
      </c>
      <c r="L3" s="72">
        <v>43306</v>
      </c>
      <c r="M3" s="43">
        <v>36</v>
      </c>
      <c r="O3" s="11" t="s">
        <v>58</v>
      </c>
      <c r="Q3" s="221">
        <f>IF(Q2=0, Q4, (F18-K18-M18)/Q2)</f>
        <v>14.744000000000002</v>
      </c>
      <c r="T3" s="1"/>
      <c r="U3" t="s">
        <v>835</v>
      </c>
      <c r="W3" s="134"/>
      <c r="Z3">
        <f t="shared" ref="Z3:Z17" si="1">B3-$B$2</f>
        <v>1</v>
      </c>
      <c r="AA3" s="2">
        <f t="shared" ref="AA3:AA17" si="2">F3</f>
        <v>872.5</v>
      </c>
      <c r="AB3">
        <f t="shared" ref="AB3:AB17" si="3">AA3*EXP(-Z3/365.25 * $X$2)</f>
        <v>872.5</v>
      </c>
      <c r="AC3">
        <f t="shared" ref="AC3:AC17" si="4">G3-$B$2</f>
        <v>141</v>
      </c>
      <c r="AD3" s="2">
        <f t="shared" ref="AD3:AD17" si="5">K3</f>
        <v>1508.97</v>
      </c>
      <c r="AE3">
        <f t="shared" ref="AE3:AE17" si="6">AD3*EXP(-AC3/365.25 * $X$2)</f>
        <v>1508.97</v>
      </c>
      <c r="AF3">
        <f t="shared" ref="AF3:AF17" si="7">L3-$B$2</f>
        <v>211</v>
      </c>
      <c r="AG3" s="2">
        <f t="shared" ref="AG3:AG17" si="8">M3</f>
        <v>36</v>
      </c>
      <c r="AH3">
        <f t="shared" ref="AH3:AH17" si="9">AG3*EXP(-AF3/365.25 * $X$2)</f>
        <v>36</v>
      </c>
    </row>
    <row r="4" spans="1:41" x14ac:dyDescent="0.25">
      <c r="B4" s="434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434">
        <v>43287</v>
      </c>
      <c r="H4" s="80">
        <v>100</v>
      </c>
      <c r="I4" s="43">
        <v>13.8</v>
      </c>
      <c r="J4" s="43">
        <v>0.02</v>
      </c>
      <c r="K4" s="43">
        <f>H4*I4-J4</f>
        <v>1379.98</v>
      </c>
      <c r="L4" s="4"/>
      <c r="M4" s="4"/>
      <c r="O4" s="11" t="s">
        <v>66</v>
      </c>
      <c r="Q4" s="54">
        <v>13.059900000000001</v>
      </c>
      <c r="R4" s="495">
        <v>-6.8999999999999999E-3</v>
      </c>
      <c r="T4" s="156"/>
      <c r="U4" s="1" t="s">
        <v>881</v>
      </c>
      <c r="W4" s="134"/>
      <c r="Z4">
        <f t="shared" si="1"/>
        <v>83</v>
      </c>
      <c r="AA4" s="2">
        <f t="shared" si="2"/>
        <v>2104.5</v>
      </c>
      <c r="AB4">
        <f t="shared" si="3"/>
        <v>2104.5</v>
      </c>
      <c r="AC4">
        <f t="shared" si="4"/>
        <v>192</v>
      </c>
      <c r="AD4" s="2">
        <f t="shared" si="5"/>
        <v>1379.98</v>
      </c>
      <c r="AE4">
        <f t="shared" si="6"/>
        <v>1379.98</v>
      </c>
      <c r="AF4">
        <f t="shared" si="7"/>
        <v>-43095</v>
      </c>
      <c r="AG4" s="2">
        <f t="shared" si="8"/>
        <v>0</v>
      </c>
      <c r="AH4">
        <f t="shared" si="9"/>
        <v>0</v>
      </c>
    </row>
    <row r="5" spans="1:41" x14ac:dyDescent="0.25">
      <c r="B5" s="72">
        <v>43178</v>
      </c>
      <c r="C5" s="7">
        <v>50</v>
      </c>
      <c r="D5" s="43">
        <v>14.03</v>
      </c>
      <c r="E5" s="43">
        <v>0</v>
      </c>
      <c r="F5" s="43">
        <f t="shared" si="0"/>
        <v>701.5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5223.96</v>
      </c>
      <c r="T5" s="1">
        <v>43112</v>
      </c>
      <c r="U5" t="s">
        <v>879</v>
      </c>
      <c r="W5" s="134"/>
      <c r="Z5">
        <f t="shared" si="1"/>
        <v>83</v>
      </c>
      <c r="AA5" s="2">
        <f t="shared" si="2"/>
        <v>701.5</v>
      </c>
      <c r="AB5">
        <f t="shared" si="3"/>
        <v>701.5</v>
      </c>
      <c r="AC5">
        <f t="shared" si="4"/>
        <v>-43095</v>
      </c>
      <c r="AD5" s="2">
        <f t="shared" si="5"/>
        <v>0</v>
      </c>
      <c r="AE5">
        <f t="shared" si="6"/>
        <v>0</v>
      </c>
      <c r="AF5">
        <f t="shared" si="7"/>
        <v>-43095</v>
      </c>
      <c r="AG5" s="2">
        <f t="shared" si="8"/>
        <v>0</v>
      </c>
      <c r="AH5">
        <f t="shared" si="9"/>
        <v>0</v>
      </c>
    </row>
    <row r="6" spans="1:41" x14ac:dyDescent="0.25">
      <c r="B6" s="72">
        <v>43243</v>
      </c>
      <c r="C6" s="4">
        <v>150</v>
      </c>
      <c r="D6" s="3">
        <v>14.19</v>
      </c>
      <c r="E6" s="3">
        <v>0</v>
      </c>
      <c r="F6" s="3">
        <f t="shared" si="0"/>
        <v>2128.5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5897.6</v>
      </c>
      <c r="W6" s="134"/>
      <c r="Z6">
        <f t="shared" si="1"/>
        <v>148</v>
      </c>
      <c r="AA6" s="2">
        <f t="shared" si="2"/>
        <v>2128.5</v>
      </c>
      <c r="AB6">
        <f t="shared" si="3"/>
        <v>2128.5</v>
      </c>
      <c r="AC6">
        <f t="shared" si="4"/>
        <v>-43095</v>
      </c>
      <c r="AD6" s="2">
        <f t="shared" si="5"/>
        <v>0</v>
      </c>
      <c r="AE6">
        <f t="shared" si="6"/>
        <v>0</v>
      </c>
      <c r="AF6">
        <f t="shared" si="7"/>
        <v>-43095</v>
      </c>
      <c r="AG6" s="2">
        <f t="shared" si="8"/>
        <v>0</v>
      </c>
      <c r="AH6">
        <f t="shared" si="9"/>
        <v>0</v>
      </c>
    </row>
    <row r="7" spans="1:41" x14ac:dyDescent="0.25">
      <c r="B7" s="72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-673.64000000000033</v>
      </c>
      <c r="R7">
        <v>300</v>
      </c>
      <c r="T7" s="1">
        <v>43117</v>
      </c>
      <c r="U7" t="s">
        <v>886</v>
      </c>
      <c r="W7" s="134"/>
      <c r="Z7">
        <f t="shared" si="1"/>
        <v>171</v>
      </c>
      <c r="AA7" s="2">
        <f t="shared" si="2"/>
        <v>1334</v>
      </c>
      <c r="AB7">
        <f t="shared" si="3"/>
        <v>1334</v>
      </c>
      <c r="AC7">
        <f t="shared" si="4"/>
        <v>-43095</v>
      </c>
      <c r="AD7" s="2">
        <f t="shared" si="5"/>
        <v>0</v>
      </c>
      <c r="AE7">
        <f t="shared" si="6"/>
        <v>0</v>
      </c>
      <c r="AF7">
        <f t="shared" si="7"/>
        <v>-43095</v>
      </c>
      <c r="AG7" s="2">
        <f t="shared" si="8"/>
        <v>0</v>
      </c>
      <c r="AH7">
        <f t="shared" si="9"/>
        <v>0</v>
      </c>
    </row>
    <row r="8" spans="1:41" x14ac:dyDescent="0.25">
      <c r="B8" s="474">
        <v>43301</v>
      </c>
      <c r="C8" s="4">
        <v>100</v>
      </c>
      <c r="D8" s="3">
        <v>13.08</v>
      </c>
      <c r="E8" s="3">
        <v>0</v>
      </c>
      <c r="F8" s="3">
        <f t="shared" si="0"/>
        <v>1308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-673.64000000000033</v>
      </c>
      <c r="U8" t="s">
        <v>887</v>
      </c>
      <c r="W8" s="134"/>
      <c r="Z8">
        <f t="shared" si="1"/>
        <v>206</v>
      </c>
      <c r="AA8" s="2">
        <f t="shared" si="2"/>
        <v>1308</v>
      </c>
      <c r="AB8">
        <f t="shared" si="3"/>
        <v>1308</v>
      </c>
      <c r="AC8">
        <f t="shared" si="4"/>
        <v>-43095</v>
      </c>
      <c r="AD8" s="2">
        <f t="shared" si="5"/>
        <v>0</v>
      </c>
      <c r="AE8">
        <f t="shared" si="6"/>
        <v>0</v>
      </c>
      <c r="AF8">
        <f t="shared" si="7"/>
        <v>-43095</v>
      </c>
      <c r="AG8" s="2">
        <f t="shared" si="8"/>
        <v>0</v>
      </c>
      <c r="AH8">
        <f t="shared" si="9"/>
        <v>0</v>
      </c>
    </row>
    <row r="9" spans="1:4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-0.11422273467173093</v>
      </c>
      <c r="W9" s="134"/>
      <c r="Z9">
        <f t="shared" si="1"/>
        <v>-43095</v>
      </c>
      <c r="AA9" s="2">
        <f t="shared" si="2"/>
        <v>0</v>
      </c>
      <c r="AB9">
        <f t="shared" si="3"/>
        <v>0</v>
      </c>
      <c r="AC9">
        <f t="shared" si="4"/>
        <v>-43095</v>
      </c>
      <c r="AD9" s="2">
        <f t="shared" si="5"/>
        <v>0</v>
      </c>
      <c r="AE9">
        <f t="shared" si="6"/>
        <v>0</v>
      </c>
      <c r="AF9">
        <f t="shared" si="7"/>
        <v>-43095</v>
      </c>
      <c r="AG9" s="2">
        <f t="shared" si="8"/>
        <v>0</v>
      </c>
      <c r="AH9">
        <f t="shared" si="9"/>
        <v>0</v>
      </c>
    </row>
    <row r="10" spans="1:41" x14ac:dyDescent="0.25">
      <c r="H10" s="70"/>
      <c r="O10" s="11" t="s">
        <v>206</v>
      </c>
      <c r="P10" s="33"/>
      <c r="Q10" s="2">
        <f>M66</f>
        <v>0</v>
      </c>
      <c r="W10" s="134"/>
      <c r="Z10">
        <f t="shared" si="1"/>
        <v>-43095</v>
      </c>
      <c r="AA10" s="2">
        <f t="shared" si="2"/>
        <v>0</v>
      </c>
      <c r="AB10">
        <f t="shared" si="3"/>
        <v>0</v>
      </c>
      <c r="AC10">
        <f t="shared" si="4"/>
        <v>-43095</v>
      </c>
      <c r="AD10" s="2">
        <f t="shared" si="5"/>
        <v>0</v>
      </c>
      <c r="AE10">
        <f t="shared" si="6"/>
        <v>0</v>
      </c>
      <c r="AF10">
        <f t="shared" si="7"/>
        <v>-43095</v>
      </c>
      <c r="AG10" s="2">
        <f t="shared" si="8"/>
        <v>0</v>
      </c>
      <c r="AH10">
        <f t="shared" si="9"/>
        <v>0</v>
      </c>
    </row>
    <row r="11" spans="1:41" x14ac:dyDescent="0.25">
      <c r="H11" s="70"/>
      <c r="O11" s="11" t="s">
        <v>176</v>
      </c>
      <c r="P11" s="33"/>
      <c r="Q11" s="134">
        <f>R11*4/Q4</f>
        <v>3.6753727057634432E-2</v>
      </c>
      <c r="R11">
        <f>0.12</f>
        <v>0.12</v>
      </c>
      <c r="T11" s="817">
        <v>43124</v>
      </c>
      <c r="U11" t="s">
        <v>880</v>
      </c>
      <c r="W11" s="134"/>
      <c r="Z11">
        <f t="shared" si="1"/>
        <v>-43095</v>
      </c>
      <c r="AA11" s="2">
        <f t="shared" si="2"/>
        <v>0</v>
      </c>
      <c r="AB11">
        <f t="shared" si="3"/>
        <v>0</v>
      </c>
      <c r="AC11">
        <f t="shared" si="4"/>
        <v>-43095</v>
      </c>
      <c r="AD11" s="2">
        <f t="shared" si="5"/>
        <v>0</v>
      </c>
      <c r="AE11">
        <f t="shared" si="6"/>
        <v>0</v>
      </c>
      <c r="AF11">
        <f t="shared" si="7"/>
        <v>-43095</v>
      </c>
      <c r="AG11" s="2">
        <f t="shared" si="8"/>
        <v>0</v>
      </c>
      <c r="AH11">
        <f t="shared" si="9"/>
        <v>0</v>
      </c>
    </row>
    <row r="12" spans="1:41" x14ac:dyDescent="0.25">
      <c r="H12" s="70"/>
      <c r="O12" s="11" t="s">
        <v>82</v>
      </c>
      <c r="Q12" s="1"/>
      <c r="W12" s="134"/>
      <c r="Z12">
        <f t="shared" si="1"/>
        <v>-43095</v>
      </c>
      <c r="AA12" s="2">
        <f t="shared" si="2"/>
        <v>0</v>
      </c>
      <c r="AB12">
        <f t="shared" si="3"/>
        <v>0</v>
      </c>
      <c r="AC12">
        <f t="shared" si="4"/>
        <v>-43095</v>
      </c>
      <c r="AD12" s="2">
        <f t="shared" si="5"/>
        <v>0</v>
      </c>
      <c r="AE12">
        <f t="shared" si="6"/>
        <v>0</v>
      </c>
      <c r="AF12">
        <f t="shared" si="7"/>
        <v>-43095</v>
      </c>
      <c r="AG12" s="2">
        <f t="shared" si="8"/>
        <v>0</v>
      </c>
      <c r="AH12">
        <f t="shared" si="9"/>
        <v>0</v>
      </c>
    </row>
    <row r="13" spans="1:41" x14ac:dyDescent="0.25">
      <c r="H13" s="70"/>
      <c r="O13" s="11" t="s">
        <v>965</v>
      </c>
      <c r="Q13">
        <f>Q4/0.95</f>
        <v>13.747263157894738</v>
      </c>
      <c r="T13" s="1">
        <v>43210</v>
      </c>
      <c r="U13" t="s">
        <v>1001</v>
      </c>
      <c r="W13" s="134"/>
      <c r="Z13">
        <f t="shared" si="1"/>
        <v>-43095</v>
      </c>
      <c r="AA13" s="2">
        <f t="shared" si="2"/>
        <v>0</v>
      </c>
      <c r="AB13">
        <f t="shared" si="3"/>
        <v>0</v>
      </c>
      <c r="AC13">
        <f t="shared" si="4"/>
        <v>-43095</v>
      </c>
      <c r="AD13" s="2">
        <f t="shared" si="5"/>
        <v>0</v>
      </c>
      <c r="AE13">
        <f t="shared" si="6"/>
        <v>0</v>
      </c>
      <c r="AF13">
        <f t="shared" si="7"/>
        <v>-43095</v>
      </c>
      <c r="AG13" s="2">
        <f t="shared" si="8"/>
        <v>0</v>
      </c>
      <c r="AH13">
        <f t="shared" si="9"/>
        <v>0</v>
      </c>
    </row>
    <row r="14" spans="1:41" x14ac:dyDescent="0.25">
      <c r="H14" s="70"/>
      <c r="O14" s="11" t="s">
        <v>1102</v>
      </c>
      <c r="Q14" s="134">
        <v>-0.17130000000000001</v>
      </c>
      <c r="W14" s="134"/>
      <c r="Z14">
        <f t="shared" si="1"/>
        <v>-43095</v>
      </c>
      <c r="AA14" s="2">
        <f t="shared" si="2"/>
        <v>0</v>
      </c>
      <c r="AB14">
        <f t="shared" si="3"/>
        <v>0</v>
      </c>
      <c r="AC14">
        <f t="shared" si="4"/>
        <v>-43095</v>
      </c>
      <c r="AD14" s="2">
        <f t="shared" si="5"/>
        <v>0</v>
      </c>
      <c r="AE14">
        <f t="shared" si="6"/>
        <v>0</v>
      </c>
      <c r="AF14">
        <f t="shared" si="7"/>
        <v>-43095</v>
      </c>
      <c r="AG14" s="2">
        <f t="shared" si="8"/>
        <v>0</v>
      </c>
      <c r="AH14">
        <f t="shared" si="9"/>
        <v>0</v>
      </c>
    </row>
    <row r="15" spans="1:41" x14ac:dyDescent="0.25">
      <c r="H15" s="70"/>
      <c r="T15" s="1">
        <v>43242</v>
      </c>
      <c r="U15" t="s">
        <v>1106</v>
      </c>
      <c r="W15" s="134"/>
      <c r="Z15">
        <f t="shared" si="1"/>
        <v>-43095</v>
      </c>
      <c r="AA15" s="2">
        <f t="shared" si="2"/>
        <v>0</v>
      </c>
      <c r="AB15">
        <f t="shared" si="3"/>
        <v>0</v>
      </c>
      <c r="AC15">
        <f t="shared" si="4"/>
        <v>-43095</v>
      </c>
      <c r="AD15" s="2">
        <f t="shared" si="5"/>
        <v>0</v>
      </c>
      <c r="AE15">
        <f t="shared" si="6"/>
        <v>0</v>
      </c>
      <c r="AF15">
        <f t="shared" si="7"/>
        <v>-43095</v>
      </c>
      <c r="AG15" s="2">
        <f t="shared" si="8"/>
        <v>0</v>
      </c>
      <c r="AH15">
        <f t="shared" si="9"/>
        <v>0</v>
      </c>
    </row>
    <row r="16" spans="1:41" x14ac:dyDescent="0.25">
      <c r="H16" s="70"/>
      <c r="W16" s="134"/>
      <c r="Z16">
        <f t="shared" si="1"/>
        <v>-43095</v>
      </c>
      <c r="AA16" s="2">
        <f t="shared" si="2"/>
        <v>0</v>
      </c>
      <c r="AB16">
        <f t="shared" si="3"/>
        <v>0</v>
      </c>
      <c r="AC16">
        <f t="shared" si="4"/>
        <v>-43095</v>
      </c>
      <c r="AD16" s="2">
        <f t="shared" si="5"/>
        <v>0</v>
      </c>
      <c r="AE16">
        <f t="shared" si="6"/>
        <v>0</v>
      </c>
      <c r="AF16">
        <f t="shared" si="7"/>
        <v>-43095</v>
      </c>
      <c r="AG16" s="2">
        <f t="shared" si="8"/>
        <v>0</v>
      </c>
      <c r="AH16">
        <f t="shared" si="9"/>
        <v>0</v>
      </c>
    </row>
    <row r="17" spans="1:34" x14ac:dyDescent="0.25">
      <c r="W17" s="134"/>
      <c r="Z17">
        <f t="shared" si="1"/>
        <v>-43095</v>
      </c>
      <c r="AA17" s="2">
        <f t="shared" si="2"/>
        <v>0</v>
      </c>
      <c r="AB17">
        <f t="shared" si="3"/>
        <v>0</v>
      </c>
      <c r="AC17">
        <f t="shared" si="4"/>
        <v>-43095</v>
      </c>
      <c r="AD17" s="2">
        <f t="shared" si="5"/>
        <v>0</v>
      </c>
      <c r="AE17">
        <f t="shared" si="6"/>
        <v>0</v>
      </c>
      <c r="AF17">
        <f t="shared" si="7"/>
        <v>-43095</v>
      </c>
      <c r="AG17" s="2">
        <f t="shared" si="8"/>
        <v>0</v>
      </c>
      <c r="AH17">
        <f t="shared" si="9"/>
        <v>0</v>
      </c>
    </row>
    <row r="18" spans="1:34" x14ac:dyDescent="0.25">
      <c r="A18" s="31" t="s">
        <v>81</v>
      </c>
      <c r="B18" s="14"/>
      <c r="C18" s="14">
        <f>SUM(C2:C8)</f>
        <v>750</v>
      </c>
      <c r="D18" s="18"/>
      <c r="E18" s="18"/>
      <c r="F18" s="18">
        <f>SUM(F2:F8)</f>
        <v>11066.5</v>
      </c>
      <c r="G18" s="14"/>
      <c r="H18" s="71">
        <f>SUM(H2:H5)</f>
        <v>350</v>
      </c>
      <c r="I18" s="18"/>
      <c r="J18" s="18"/>
      <c r="K18" s="18">
        <f>SUM(K2:K5)</f>
        <v>5108.8999999999996</v>
      </c>
      <c r="L18" s="14"/>
      <c r="M18" s="18">
        <f>SUM(M2:M10)</f>
        <v>60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350</v>
      </c>
      <c r="D19" s="343"/>
      <c r="E19" s="343"/>
      <c r="F19" s="344">
        <f>SumByColor($A$19,F2:F17)</f>
        <v>5012</v>
      </c>
      <c r="G19" s="343"/>
      <c r="H19" s="343">
        <f>SumByColor($A$19,H2:H17)</f>
        <v>350</v>
      </c>
      <c r="I19" s="343"/>
      <c r="J19" s="343"/>
      <c r="K19" s="344">
        <f>SumByColor($A$19,K2:K17)</f>
        <v>5109</v>
      </c>
      <c r="L19" s="343"/>
      <c r="M19" s="344">
        <f>SumByColor($A$19,M2:M17)</f>
        <v>60</v>
      </c>
      <c r="W19" s="134"/>
      <c r="AA19" s="2"/>
    </row>
    <row r="20" spans="1:34" ht="20.25" thickBot="1" x14ac:dyDescent="0.35">
      <c r="O20" s="857" t="s">
        <v>78</v>
      </c>
      <c r="P20" s="857"/>
      <c r="W20" s="134"/>
    </row>
    <row r="21" spans="1:34" ht="15.75" thickTop="1" x14ac:dyDescent="0.25">
      <c r="O21" s="81">
        <v>1.1000000000000001</v>
      </c>
      <c r="P21" s="81">
        <f>O21*$Q$4</f>
        <v>14.365890000000002</v>
      </c>
      <c r="W21" s="134"/>
    </row>
    <row r="22" spans="1:34" x14ac:dyDescent="0.25">
      <c r="O22" s="81">
        <v>1.0900000000000001</v>
      </c>
      <c r="P22" s="81">
        <f t="shared" ref="P22:P41" si="10">O22*$Q$4</f>
        <v>14.235291000000002</v>
      </c>
      <c r="W22" s="134"/>
    </row>
    <row r="23" spans="1:34" x14ac:dyDescent="0.25">
      <c r="O23" s="81">
        <v>1.08</v>
      </c>
      <c r="P23" s="81">
        <f t="shared" si="10"/>
        <v>14.104692000000002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965</v>
      </c>
      <c r="O24" s="81">
        <v>1.07</v>
      </c>
      <c r="P24" s="81">
        <f t="shared" si="10"/>
        <v>13.974093000000002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:F32" si="11">C25*(E25-D25)</f>
        <v>-3.9999999999999147</v>
      </c>
      <c r="G25" s="39">
        <f t="shared" ref="G25:G32" si="12">D25*C25</f>
        <v>3490</v>
      </c>
      <c r="H25" s="222">
        <f t="shared" ref="H25:H32" si="1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0"/>
        <v>13.843494000000002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si="11"/>
        <v>139.99999999999986</v>
      </c>
      <c r="G26" s="39">
        <f t="shared" si="12"/>
        <v>3490</v>
      </c>
      <c r="H26" s="222">
        <f t="shared" si="13"/>
        <v>4.0114613180515721E-2</v>
      </c>
      <c r="I26" s="39"/>
      <c r="J26" s="39"/>
      <c r="K26" s="39"/>
      <c r="L26" s="39"/>
      <c r="O26" s="81">
        <v>1.05</v>
      </c>
      <c r="P26" s="81">
        <f t="shared" si="10"/>
        <v>13.712895000000001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si="11"/>
        <v>217.99999999999997</v>
      </c>
      <c r="G27" s="39">
        <f t="shared" si="12"/>
        <v>3490</v>
      </c>
      <c r="H27" s="222">
        <f t="shared" si="13"/>
        <v>6.246418338108882E-2</v>
      </c>
      <c r="I27" s="39"/>
      <c r="J27" s="39"/>
      <c r="K27" s="39"/>
      <c r="L27" s="155"/>
      <c r="O27" s="81">
        <v>1.04</v>
      </c>
      <c r="P27" s="81">
        <f t="shared" si="10"/>
        <v>13.582296000000001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si="11"/>
        <v>-19.999999999999574</v>
      </c>
      <c r="G28" s="39">
        <f t="shared" si="12"/>
        <v>3490</v>
      </c>
      <c r="H28" s="222">
        <f t="shared" si="13"/>
        <v>-5.730659025787844E-3</v>
      </c>
      <c r="I28" s="39"/>
      <c r="J28" s="39"/>
      <c r="K28" s="39"/>
      <c r="L28" s="155"/>
      <c r="O28" s="81">
        <v>1.03</v>
      </c>
      <c r="P28" s="81">
        <f t="shared" si="10"/>
        <v>13.451697000000001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1"/>
        <v>-201.9999999999996</v>
      </c>
      <c r="G29" s="39">
        <f t="shared" si="12"/>
        <v>3490</v>
      </c>
      <c r="H29" s="222">
        <f t="shared" si="13"/>
        <v>-5.7879656160458343E-2</v>
      </c>
      <c r="I29" s="39"/>
      <c r="J29" s="39"/>
      <c r="K29" s="39"/>
      <c r="L29" s="155"/>
      <c r="O29" s="81">
        <v>1.02</v>
      </c>
      <c r="P29" s="81">
        <f t="shared" si="10"/>
        <v>13.321098000000001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1"/>
        <v>-668</v>
      </c>
      <c r="G30" s="39">
        <f t="shared" si="12"/>
        <v>6296</v>
      </c>
      <c r="H30" s="222">
        <f t="shared" si="13"/>
        <v>-0.10609911054637865</v>
      </c>
      <c r="I30" s="39"/>
      <c r="J30" s="39"/>
      <c r="K30" s="39"/>
      <c r="L30" s="155"/>
      <c r="O30" s="81">
        <v>1.01</v>
      </c>
      <c r="P30" s="81">
        <f t="shared" si="10"/>
        <v>13.190499000000001</v>
      </c>
      <c r="W30" s="134"/>
    </row>
    <row r="31" spans="1:34" x14ac:dyDescent="0.25">
      <c r="B31" s="184">
        <v>43184</v>
      </c>
      <c r="C31" s="10">
        <v>400</v>
      </c>
      <c r="D31" s="39">
        <v>15.74</v>
      </c>
      <c r="E31" s="39">
        <v>13.07</v>
      </c>
      <c r="F31" s="39">
        <f t="shared" si="11"/>
        <v>-1068</v>
      </c>
      <c r="G31" s="39">
        <f t="shared" si="12"/>
        <v>6296</v>
      </c>
      <c r="H31" s="222">
        <f t="shared" si="13"/>
        <v>-0.16963151207115629</v>
      </c>
      <c r="I31" s="39"/>
      <c r="J31" s="39"/>
      <c r="K31" s="39"/>
      <c r="L31" s="155"/>
      <c r="O31" s="81">
        <v>1</v>
      </c>
      <c r="P31" s="81">
        <f t="shared" si="10"/>
        <v>13.059900000000001</v>
      </c>
      <c r="W31" s="134"/>
    </row>
    <row r="32" spans="1:34" x14ac:dyDescent="0.25">
      <c r="A32">
        <v>200</v>
      </c>
      <c r="B32" s="184">
        <v>43185</v>
      </c>
      <c r="C32" s="10">
        <v>400</v>
      </c>
      <c r="D32" s="39">
        <v>15.74</v>
      </c>
      <c r="E32" s="39">
        <v>12.89</v>
      </c>
      <c r="F32" s="39">
        <f t="shared" si="11"/>
        <v>-1139.9999999999998</v>
      </c>
      <c r="G32" s="39">
        <f t="shared" si="12"/>
        <v>6296</v>
      </c>
      <c r="H32" s="222">
        <f t="shared" si="13"/>
        <v>-0.18106734434561625</v>
      </c>
      <c r="I32" s="39"/>
      <c r="J32" s="39"/>
      <c r="K32" s="39"/>
      <c r="L32" s="155"/>
      <c r="O32" s="81">
        <v>0.99</v>
      </c>
      <c r="P32" s="81">
        <f t="shared" si="10"/>
        <v>12.929301000000001</v>
      </c>
      <c r="W32" s="134"/>
    </row>
    <row r="33" spans="1:23" x14ac:dyDescent="0.25">
      <c r="A33" s="29"/>
      <c r="B33" s="184">
        <v>43186</v>
      </c>
      <c r="C33" s="10">
        <v>400</v>
      </c>
      <c r="D33" s="39">
        <v>15.74</v>
      </c>
      <c r="E33" s="39">
        <v>13.44</v>
      </c>
      <c r="F33" s="39">
        <f t="shared" ref="F33:F40" si="14">C33*(E33-D33)</f>
        <v>-920.00000000000023</v>
      </c>
      <c r="G33" s="39">
        <f t="shared" ref="G33:G40" si="15">D33*C33</f>
        <v>6296</v>
      </c>
      <c r="H33" s="222">
        <f t="shared" ref="H33:H40" si="16">(E33-D33)/D33</f>
        <v>-0.1461245235069886</v>
      </c>
      <c r="I33" s="39"/>
      <c r="J33" s="39"/>
      <c r="K33" s="39"/>
      <c r="L33" s="155"/>
      <c r="O33" s="81">
        <v>0.98</v>
      </c>
      <c r="P33" s="81">
        <f t="shared" si="10"/>
        <v>12.798702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4"/>
        <v>-376.05000000000024</v>
      </c>
      <c r="G34" s="39">
        <f t="shared" si="15"/>
        <v>4076.05</v>
      </c>
      <c r="H34" s="222">
        <f t="shared" si="16"/>
        <v>-9.2258436476490763E-2</v>
      </c>
      <c r="I34" s="39"/>
      <c r="J34" s="39"/>
      <c r="K34" s="39"/>
      <c r="L34" s="155"/>
      <c r="O34" s="81">
        <v>0.97</v>
      </c>
      <c r="P34" s="81">
        <f t="shared" si="10"/>
        <v>12.668103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4"/>
        <v>-288.58500000000021</v>
      </c>
      <c r="G35" s="39">
        <f t="shared" si="15"/>
        <v>2543.085</v>
      </c>
      <c r="H35" s="222">
        <f t="shared" si="16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0"/>
        <v>12.537504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14"/>
        <v>-417.56999999999994</v>
      </c>
      <c r="G36" s="39">
        <f t="shared" si="15"/>
        <v>4671.57</v>
      </c>
      <c r="H36" s="222">
        <f t="shared" si="16"/>
        <v>-8.9385367232001217E-2</v>
      </c>
      <c r="I36" s="39"/>
      <c r="J36" s="39"/>
      <c r="K36" s="39"/>
      <c r="L36" s="39"/>
      <c r="O36" s="81">
        <v>0.95</v>
      </c>
      <c r="P36" s="81">
        <f t="shared" si="10"/>
        <v>12.406905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14"/>
        <v>-685.59999999999945</v>
      </c>
      <c r="G37" s="39">
        <f t="shared" si="15"/>
        <v>6005.5999999999995</v>
      </c>
      <c r="H37" s="222">
        <f t="shared" si="16"/>
        <v>-0.11416011722392425</v>
      </c>
      <c r="I37" s="39"/>
      <c r="J37" s="39"/>
      <c r="K37" s="39"/>
      <c r="L37" s="39"/>
      <c r="O37" s="81">
        <v>0.94</v>
      </c>
      <c r="P37" s="81">
        <f t="shared" si="10"/>
        <v>12.276306</v>
      </c>
      <c r="W37" s="134"/>
    </row>
    <row r="38" spans="1:23" x14ac:dyDescent="0.25">
      <c r="A38">
        <v>200</v>
      </c>
      <c r="B38" s="184">
        <v>43287</v>
      </c>
      <c r="C38" s="10">
        <v>300</v>
      </c>
      <c r="D38" s="39">
        <v>15.418699999999999</v>
      </c>
      <c r="E38" s="39">
        <v>13.8</v>
      </c>
      <c r="F38" s="39">
        <f t="shared" si="14"/>
        <v>-485.60999999999962</v>
      </c>
      <c r="G38" s="39">
        <f t="shared" si="15"/>
        <v>4625.6099999999997</v>
      </c>
      <c r="H38" s="222">
        <f t="shared" si="16"/>
        <v>-0.1049829103620927</v>
      </c>
      <c r="I38" s="39"/>
      <c r="J38" s="39"/>
      <c r="K38" s="39"/>
      <c r="L38" s="39"/>
      <c r="O38" s="81">
        <v>0.93</v>
      </c>
      <c r="P38" s="81">
        <f t="shared" si="10"/>
        <v>12.145707000000002</v>
      </c>
      <c r="W38" s="134"/>
    </row>
    <row r="39" spans="1:23" x14ac:dyDescent="0.25">
      <c r="A39">
        <v>300</v>
      </c>
      <c r="B39" s="184">
        <v>43301</v>
      </c>
      <c r="C39" s="7">
        <v>400</v>
      </c>
      <c r="D39" s="43">
        <v>14.834</v>
      </c>
      <c r="E39" s="39">
        <v>13.08</v>
      </c>
      <c r="F39" s="39">
        <f t="shared" si="14"/>
        <v>-701.5999999999998</v>
      </c>
      <c r="G39" s="39">
        <f t="shared" si="15"/>
        <v>5933.5999999999995</v>
      </c>
      <c r="H39" s="222">
        <f t="shared" si="16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0"/>
        <v>12.015108000000001</v>
      </c>
      <c r="W39" s="134"/>
    </row>
    <row r="40" spans="1:23" x14ac:dyDescent="0.25">
      <c r="A40">
        <v>300</v>
      </c>
      <c r="B40" s="184">
        <v>43305</v>
      </c>
      <c r="C40" s="7">
        <v>400</v>
      </c>
      <c r="D40" s="43">
        <v>14.744</v>
      </c>
      <c r="E40" s="39">
        <v>13.12</v>
      </c>
      <c r="F40" s="39">
        <f t="shared" si="14"/>
        <v>-649.60000000000025</v>
      </c>
      <c r="G40" s="39">
        <f t="shared" si="15"/>
        <v>5897.6</v>
      </c>
      <c r="H40" s="222">
        <f t="shared" si="16"/>
        <v>-0.11014650027129684</v>
      </c>
      <c r="I40" s="39">
        <v>14</v>
      </c>
      <c r="J40" s="39"/>
      <c r="K40" s="39" t="s">
        <v>185</v>
      </c>
      <c r="L40" s="39">
        <v>13.81</v>
      </c>
      <c r="O40" s="81">
        <v>0.91</v>
      </c>
      <c r="P40" s="81">
        <f t="shared" si="10"/>
        <v>11.884509000000001</v>
      </c>
      <c r="W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10"/>
        <v>11.753910000000001</v>
      </c>
      <c r="Q41" s="2"/>
      <c r="W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W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W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W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W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773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08" priority="25">
      <formula>F47&gt;0</formula>
    </cfRule>
    <cfRule type="expression" dxfId="2007" priority="26">
      <formula>F47&lt;0</formula>
    </cfRule>
  </conditionalFormatting>
  <conditionalFormatting sqref="Q7">
    <cfRule type="expression" dxfId="2006" priority="23">
      <formula>Q7&gt;0</formula>
    </cfRule>
    <cfRule type="expression" dxfId="2005" priority="24">
      <formula>Q7&lt;0</formula>
    </cfRule>
  </conditionalFormatting>
  <conditionalFormatting sqref="Q8">
    <cfRule type="expression" dxfId="2004" priority="21">
      <formula>Q8&gt;0</formula>
    </cfRule>
    <cfRule type="expression" dxfId="2003" priority="22">
      <formula>Q8&lt;0</formula>
    </cfRule>
  </conditionalFormatting>
  <conditionalFormatting sqref="F25:F30 F34:F46">
    <cfRule type="expression" dxfId="2002" priority="19">
      <formula>F25&gt;0</formula>
    </cfRule>
    <cfRule type="expression" dxfId="2001" priority="20">
      <formula>F25&lt;0</formula>
    </cfRule>
  </conditionalFormatting>
  <conditionalFormatting sqref="H25:H30 H34:H46">
    <cfRule type="expression" dxfId="2000" priority="17">
      <formula>H25&gt;0</formula>
    </cfRule>
    <cfRule type="expression" dxfId="1999" priority="18">
      <formula>H25&lt;0</formula>
    </cfRule>
  </conditionalFormatting>
  <conditionalFormatting sqref="F89:F110">
    <cfRule type="expression" dxfId="1998" priority="15">
      <formula>F89&gt;0</formula>
    </cfRule>
    <cfRule type="expression" dxfId="1997" priority="16">
      <formula>F89&lt;0</formula>
    </cfRule>
  </conditionalFormatting>
  <conditionalFormatting sqref="H89:H110">
    <cfRule type="expression" dxfId="1996" priority="13">
      <formula>H89&gt;0</formula>
    </cfRule>
    <cfRule type="expression" dxfId="1995" priority="14">
      <formula>H89&lt;0</formula>
    </cfRule>
  </conditionalFormatting>
  <conditionalFormatting sqref="Q10">
    <cfRule type="expression" dxfId="1994" priority="11">
      <formula>Q10&gt;0</formula>
    </cfRule>
    <cfRule type="expression" dxfId="1993" priority="12">
      <formula>Q10&lt;0</formula>
    </cfRule>
  </conditionalFormatting>
  <conditionalFormatting sqref="J25:J38">
    <cfRule type="expression" dxfId="1992" priority="9">
      <formula>J25&gt;0</formula>
    </cfRule>
    <cfRule type="expression" dxfId="1991" priority="10">
      <formula>J25&lt;0</formula>
    </cfRule>
  </conditionalFormatting>
  <conditionalFormatting sqref="K25:K38">
    <cfRule type="expression" dxfId="1990" priority="7">
      <formula>K25&gt;0</formula>
    </cfRule>
    <cfRule type="expression" dxfId="1989" priority="8">
      <formula>K25&lt;0</formula>
    </cfRule>
  </conditionalFormatting>
  <conditionalFormatting sqref="L25:L38">
    <cfRule type="expression" dxfId="1988" priority="5">
      <formula>L25&gt;0</formula>
    </cfRule>
    <cfRule type="expression" dxfId="1987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986" priority="3">
      <formula>F31&gt;0</formula>
    </cfRule>
    <cfRule type="expression" dxfId="1985" priority="4">
      <formula>F31&lt;0</formula>
    </cfRule>
  </conditionalFormatting>
  <conditionalFormatting sqref="H31:H33">
    <cfRule type="expression" dxfId="1984" priority="1">
      <formula>H31&gt;0</formula>
    </cfRule>
    <cfRule type="expression" dxfId="1983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956</v>
      </c>
      <c r="B2" s="434">
        <v>43181</v>
      </c>
      <c r="C2" s="4">
        <v>50</v>
      </c>
      <c r="D2" s="3">
        <v>52.8</v>
      </c>
      <c r="E2" s="3">
        <v>0</v>
      </c>
      <c r="F2" s="3">
        <f>C2*D2+E2</f>
        <v>2640</v>
      </c>
      <c r="G2" s="434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>
        <v>43181</v>
      </c>
      <c r="C3" s="4">
        <v>50</v>
      </c>
      <c r="D3" s="3">
        <v>52.8</v>
      </c>
      <c r="E3" s="3">
        <v>0</v>
      </c>
      <c r="F3" s="3">
        <f>C3*D3+E3</f>
        <v>2640</v>
      </c>
      <c r="G3" s="72"/>
      <c r="H3" s="176"/>
      <c r="I3" s="3"/>
      <c r="J3" s="3"/>
      <c r="K3" s="3"/>
      <c r="L3" s="72">
        <v>43294</v>
      </c>
      <c r="M3" s="43">
        <v>17.5</v>
      </c>
      <c r="O3" s="11" t="s">
        <v>58</v>
      </c>
      <c r="Q3" s="221">
        <f>IF(Q2=0, Q4, (F18-K18-M18)/Q2)</f>
        <v>48.9039</v>
      </c>
      <c r="T3" s="1">
        <v>43160</v>
      </c>
      <c r="U3" t="s">
        <v>986</v>
      </c>
    </row>
    <row r="4" spans="1:21" x14ac:dyDescent="0.25">
      <c r="B4" s="72">
        <v>43228</v>
      </c>
      <c r="C4" s="4">
        <v>100</v>
      </c>
      <c r="D4" s="3">
        <v>46.08</v>
      </c>
      <c r="E4" s="3">
        <v>0</v>
      </c>
      <c r="F4" s="3">
        <f>C4*D4+E4</f>
        <v>4608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47.279899999999998</v>
      </c>
      <c r="R4" s="495">
        <v>6.1999999999999998E-3</v>
      </c>
      <c r="T4" s="770"/>
      <c r="U4" s="30"/>
    </row>
    <row r="5" spans="1:21" x14ac:dyDescent="0.25">
      <c r="B5" s="474">
        <v>43299</v>
      </c>
      <c r="C5" s="7">
        <v>50</v>
      </c>
      <c r="D5" s="43">
        <v>43.98</v>
      </c>
      <c r="E5" s="43">
        <v>0</v>
      </c>
      <c r="F5" s="43">
        <f>C5*D5+E5</f>
        <v>2199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9455.98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9780.7800000000007</v>
      </c>
      <c r="T6" s="1">
        <v>43227</v>
      </c>
      <c r="U6" t="s">
        <v>1055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-324.80000000000109</v>
      </c>
      <c r="R7">
        <v>150</v>
      </c>
      <c r="U7" t="s">
        <v>1061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-324.80000000000109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-3.3207985457192682E-2</v>
      </c>
      <c r="T9" s="770">
        <v>43285</v>
      </c>
      <c r="U9" t="s">
        <v>1160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 t="s">
        <v>1199</v>
      </c>
    </row>
    <row r="13" spans="1:21" x14ac:dyDescent="0.25">
      <c r="H13" s="70"/>
      <c r="O13" s="11" t="s">
        <v>965</v>
      </c>
      <c r="Q13" s="2">
        <f>Q4/2.6</f>
        <v>18.184576923076921</v>
      </c>
    </row>
    <row r="14" spans="1:21" x14ac:dyDescent="0.25">
      <c r="H14" s="70"/>
      <c r="O14" s="11" t="s">
        <v>1053</v>
      </c>
      <c r="Q14" s="1">
        <v>43247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12087</v>
      </c>
      <c r="G18" s="14"/>
      <c r="H18" s="71">
        <f>SUM(H2:H5)</f>
        <v>50</v>
      </c>
      <c r="I18" s="18"/>
      <c r="J18" s="18"/>
      <c r="K18" s="18">
        <f>SUM(K2:K5)</f>
        <v>2279.9699999999998</v>
      </c>
      <c r="L18" s="14"/>
      <c r="M18" s="18">
        <f>SUM(M2:M10)</f>
        <v>26.25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2199</v>
      </c>
      <c r="G19" s="343"/>
      <c r="H19" s="343">
        <f>SumByColor($A$19,H2:H17)</f>
        <v>50</v>
      </c>
      <c r="I19" s="343"/>
      <c r="J19" s="343"/>
      <c r="K19" s="344">
        <f>SumByColor($A$19,K2:K17)</f>
        <v>2280</v>
      </c>
      <c r="L19" s="343"/>
      <c r="M19" s="344">
        <f>SumByColor($A$19,M2:M17)</f>
        <v>26</v>
      </c>
    </row>
    <row r="22" spans="1:17" ht="20.25" thickBot="1" x14ac:dyDescent="0.35">
      <c r="O22" s="799" t="s">
        <v>78</v>
      </c>
      <c r="P22" s="799"/>
    </row>
    <row r="23" spans="1:17" ht="15.75" thickTop="1" x14ac:dyDescent="0.25">
      <c r="O23" s="81">
        <v>1.1000000000000001</v>
      </c>
      <c r="P23" s="81">
        <f>O23*$Q$4</f>
        <v>52.007890000000003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965</v>
      </c>
      <c r="L24" s="220"/>
      <c r="O24" s="81">
        <v>1.0900000000000001</v>
      </c>
      <c r="P24" s="81">
        <f t="shared" ref="P24:P43" si="0">O24*$Q$4</f>
        <v>51.535091000000001</v>
      </c>
      <c r="Q24" s="2"/>
    </row>
    <row r="25" spans="1:17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222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0"/>
        <v>51.062291999999999</v>
      </c>
      <c r="Q25" s="2"/>
    </row>
    <row r="26" spans="1:17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222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0"/>
        <v>50.589492999999997</v>
      </c>
      <c r="Q26" s="2"/>
    </row>
    <row r="27" spans="1:17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222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0"/>
        <v>50.116694000000003</v>
      </c>
      <c r="Q27" s="2"/>
    </row>
    <row r="28" spans="1:17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222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0"/>
        <v>49.643895000000001</v>
      </c>
      <c r="Q28" s="2"/>
    </row>
    <row r="29" spans="1:17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222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0"/>
        <v>49.171095999999999</v>
      </c>
      <c r="Q29" s="2"/>
    </row>
    <row r="30" spans="1:17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1">C30*(E30-D30)</f>
        <v>-347.24999999999966</v>
      </c>
      <c r="G30" s="39">
        <f t="shared" ref="G30:G40" si="2">D30*C30</f>
        <v>5271.25</v>
      </c>
      <c r="H30" s="222">
        <f t="shared" ref="H30:H40" si="3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0"/>
        <v>48.698296999999997</v>
      </c>
      <c r="Q30" s="2"/>
    </row>
    <row r="31" spans="1:17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1"/>
        <v>-579.24999999999966</v>
      </c>
      <c r="G31" s="39">
        <f t="shared" si="2"/>
        <v>5271.25</v>
      </c>
      <c r="H31" s="222">
        <f t="shared" si="3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0"/>
        <v>48.225498000000002</v>
      </c>
      <c r="Q31" s="2"/>
    </row>
    <row r="32" spans="1:17" x14ac:dyDescent="0.25">
      <c r="A32">
        <v>100</v>
      </c>
      <c r="B32" s="184">
        <v>43228</v>
      </c>
      <c r="C32" s="7">
        <v>200</v>
      </c>
      <c r="D32" s="43">
        <v>49.396299999999997</v>
      </c>
      <c r="E32" s="39">
        <v>44.47</v>
      </c>
      <c r="F32" s="39">
        <f t="shared" si="1"/>
        <v>-985.25999999999954</v>
      </c>
      <c r="G32" s="39">
        <f t="shared" si="2"/>
        <v>9879.2599999999984</v>
      </c>
      <c r="H32" s="222">
        <f t="shared" si="3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0"/>
        <v>47.752699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1"/>
        <v>-378.00000000000011</v>
      </c>
      <c r="G33" s="39">
        <f t="shared" si="2"/>
        <v>9880</v>
      </c>
      <c r="H33" s="222">
        <f t="shared" si="3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0"/>
        <v>47.279899999999998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1"/>
        <v>-965.25999999999931</v>
      </c>
      <c r="G34" s="39">
        <f t="shared" si="2"/>
        <v>9879.2599999999984</v>
      </c>
      <c r="H34" s="222">
        <f t="shared" si="3"/>
        <v>-9.7705698604956176E-2</v>
      </c>
      <c r="I34" s="39"/>
      <c r="J34" s="39"/>
      <c r="K34" s="39"/>
      <c r="L34" s="155"/>
      <c r="O34" s="81">
        <v>0.99</v>
      </c>
      <c r="P34" s="81">
        <f t="shared" si="0"/>
        <v>46.807100999999996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1"/>
        <v>-1087.2599999999991</v>
      </c>
      <c r="G35" s="39">
        <f t="shared" si="2"/>
        <v>9879.2599999999984</v>
      </c>
      <c r="H35" s="222">
        <f t="shared" si="3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0"/>
        <v>46.334301999999994</v>
      </c>
      <c r="Q35" s="2"/>
    </row>
    <row r="36" spans="1:17" x14ac:dyDescent="0.25">
      <c r="A36">
        <v>200</v>
      </c>
      <c r="B36" s="184">
        <v>43288</v>
      </c>
      <c r="C36" s="10">
        <v>200</v>
      </c>
      <c r="D36" s="39">
        <v>49.396299999999997</v>
      </c>
      <c r="E36" s="39">
        <v>45.38</v>
      </c>
      <c r="F36" s="39">
        <f t="shared" si="1"/>
        <v>-803.25999999999885</v>
      </c>
      <c r="G36" s="39">
        <f t="shared" si="2"/>
        <v>9879.2599999999984</v>
      </c>
      <c r="H36" s="222">
        <f t="shared" si="3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0"/>
        <v>45.861502999999999</v>
      </c>
    </row>
    <row r="37" spans="1:17" x14ac:dyDescent="0.25">
      <c r="A37" s="33" t="s">
        <v>1196</v>
      </c>
      <c r="B37" s="184">
        <v>43294</v>
      </c>
      <c r="C37" s="7">
        <v>200</v>
      </c>
      <c r="D37" s="43">
        <v>49.308799999999998</v>
      </c>
      <c r="E37" s="39">
        <v>45.41</v>
      </c>
      <c r="F37" s="39">
        <f t="shared" si="1"/>
        <v>-779.76000000000022</v>
      </c>
      <c r="G37" s="39">
        <f t="shared" si="2"/>
        <v>9861.76</v>
      </c>
      <c r="H37" s="222">
        <f t="shared" si="3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0"/>
        <v>45.388703999999997</v>
      </c>
    </row>
    <row r="38" spans="1:17" x14ac:dyDescent="0.25">
      <c r="A38">
        <v>200</v>
      </c>
      <c r="B38" s="184">
        <v>43299</v>
      </c>
      <c r="C38" s="10">
        <v>250</v>
      </c>
      <c r="D38" s="39">
        <v>48.243000000000002</v>
      </c>
      <c r="E38" s="39">
        <v>44.24</v>
      </c>
      <c r="F38" s="39">
        <f t="shared" si="1"/>
        <v>-1000.75</v>
      </c>
      <c r="G38" s="39">
        <f t="shared" si="2"/>
        <v>12060.75</v>
      </c>
      <c r="H38" s="222">
        <f t="shared" si="3"/>
        <v>-8.2975768505275382E-2</v>
      </c>
      <c r="I38" s="39"/>
      <c r="J38" s="39"/>
      <c r="K38" s="39"/>
      <c r="L38" s="39"/>
      <c r="O38" s="81">
        <v>0.95</v>
      </c>
      <c r="P38" s="81">
        <f t="shared" si="0"/>
        <v>44.915904999999995</v>
      </c>
    </row>
    <row r="39" spans="1:17" x14ac:dyDescent="0.25">
      <c r="A39">
        <v>150</v>
      </c>
      <c r="B39" s="184">
        <v>43300</v>
      </c>
      <c r="C39" s="7">
        <v>200</v>
      </c>
      <c r="D39" s="43">
        <v>48.9039</v>
      </c>
      <c r="E39" s="39">
        <v>45.6</v>
      </c>
      <c r="F39" s="39">
        <f t="shared" si="1"/>
        <v>-660.77999999999975</v>
      </c>
      <c r="G39" s="39">
        <f t="shared" si="2"/>
        <v>9780.7800000000007</v>
      </c>
      <c r="H39" s="222">
        <f t="shared" si="3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0"/>
        <v>44.443105999999993</v>
      </c>
    </row>
    <row r="40" spans="1:17" x14ac:dyDescent="0.25">
      <c r="B40" s="184">
        <v>43308</v>
      </c>
      <c r="C40" s="10">
        <v>200</v>
      </c>
      <c r="D40" s="39">
        <v>48.9</v>
      </c>
      <c r="E40" s="39">
        <v>46.99</v>
      </c>
      <c r="F40" s="39">
        <f t="shared" si="1"/>
        <v>-381.99999999999932</v>
      </c>
      <c r="G40" s="39">
        <f t="shared" si="2"/>
        <v>9780</v>
      </c>
      <c r="H40" s="222">
        <f t="shared" si="3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0"/>
        <v>43.970306999999998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43.497508000000003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43.024709000000001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42.551909999999999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662</v>
      </c>
      <c r="L88" s="220" t="s">
        <v>668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82" priority="31">
      <formula>F47&gt;0</formula>
    </cfRule>
    <cfRule type="expression" dxfId="1981" priority="32">
      <formula>F47&lt;0</formula>
    </cfRule>
  </conditionalFormatting>
  <conditionalFormatting sqref="Q7">
    <cfRule type="expression" dxfId="1980" priority="29">
      <formula>Q7&gt;0</formula>
    </cfRule>
    <cfRule type="expression" dxfId="1979" priority="30">
      <formula>Q7&lt;0</formula>
    </cfRule>
  </conditionalFormatting>
  <conditionalFormatting sqref="Q8">
    <cfRule type="expression" dxfId="1978" priority="27">
      <formula>Q8&gt;0</formula>
    </cfRule>
    <cfRule type="expression" dxfId="1977" priority="28">
      <formula>Q8&lt;0</formula>
    </cfRule>
  </conditionalFormatting>
  <conditionalFormatting sqref="F31:F46">
    <cfRule type="expression" dxfId="1976" priority="25">
      <formula>F31&gt;0</formula>
    </cfRule>
    <cfRule type="expression" dxfId="1975" priority="26">
      <formula>F31&lt;0</formula>
    </cfRule>
  </conditionalFormatting>
  <conditionalFormatting sqref="H31:H46">
    <cfRule type="expression" dxfId="1974" priority="23">
      <formula>H31&gt;0</formula>
    </cfRule>
    <cfRule type="expression" dxfId="1973" priority="24">
      <formula>H31&lt;0</formula>
    </cfRule>
  </conditionalFormatting>
  <conditionalFormatting sqref="Q10">
    <cfRule type="expression" dxfId="1972" priority="21">
      <formula>Q10&gt;0</formula>
    </cfRule>
    <cfRule type="expression" dxfId="1971" priority="22">
      <formula>Q10&lt;0</formula>
    </cfRule>
  </conditionalFormatting>
  <conditionalFormatting sqref="J25:J38">
    <cfRule type="expression" dxfId="1970" priority="19">
      <formula>J25&gt;0</formula>
    </cfRule>
    <cfRule type="expression" dxfId="1969" priority="20">
      <formula>J25&lt;0</formula>
    </cfRule>
  </conditionalFormatting>
  <conditionalFormatting sqref="K38">
    <cfRule type="expression" dxfId="1968" priority="17">
      <formula>K38&gt;0</formula>
    </cfRule>
    <cfRule type="expression" dxfId="1967" priority="18">
      <formula>K38&lt;0</formula>
    </cfRule>
  </conditionalFormatting>
  <conditionalFormatting sqref="L25:L38">
    <cfRule type="expression" dxfId="1966" priority="15">
      <formula>L25&gt;0</formula>
    </cfRule>
    <cfRule type="expression" dxfId="1965" priority="16">
      <formula>L25&lt;0</formula>
    </cfRule>
  </conditionalFormatting>
  <conditionalFormatting sqref="F89:F110">
    <cfRule type="expression" dxfId="1964" priority="13">
      <formula>F89&gt;0</formula>
    </cfRule>
    <cfRule type="expression" dxfId="1963" priority="14">
      <formula>F89&lt;0</formula>
    </cfRule>
  </conditionalFormatting>
  <conditionalFormatting sqref="H89:H110">
    <cfRule type="expression" dxfId="1962" priority="11">
      <formula>H89&gt;0</formula>
    </cfRule>
    <cfRule type="expression" dxfId="1961" priority="12">
      <formula>H89&lt;0</formula>
    </cfRule>
  </conditionalFormatting>
  <conditionalFormatting sqref="J89:J102">
    <cfRule type="expression" dxfId="1960" priority="9">
      <formula>J89&gt;0</formula>
    </cfRule>
    <cfRule type="expression" dxfId="1959" priority="10">
      <formula>J89&lt;0</formula>
    </cfRule>
  </conditionalFormatting>
  <conditionalFormatting sqref="K89:K102">
    <cfRule type="expression" dxfId="1958" priority="7">
      <formula>K89&gt;0</formula>
    </cfRule>
    <cfRule type="expression" dxfId="1957" priority="8">
      <formula>K89&lt;0</formula>
    </cfRule>
  </conditionalFormatting>
  <conditionalFormatting sqref="L89:L102">
    <cfRule type="expression" dxfId="1956" priority="5">
      <formula>L89&gt;0</formula>
    </cfRule>
    <cfRule type="expression" dxfId="1955" priority="6">
      <formula>L89&lt;0</formula>
    </cfRule>
  </conditionalFormatting>
  <conditionalFormatting sqref="F25:F30">
    <cfRule type="expression" dxfId="1954" priority="3">
      <formula>F25&gt;0</formula>
    </cfRule>
    <cfRule type="expression" dxfId="1953" priority="4">
      <formula>F25&lt;0</formula>
    </cfRule>
  </conditionalFormatting>
  <conditionalFormatting sqref="H25:H30">
    <cfRule type="expression" dxfId="1952" priority="1">
      <formula>H25&gt;0</formula>
    </cfRule>
    <cfRule type="expression" dxfId="195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1035</v>
      </c>
      <c r="B2" s="434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1036</v>
      </c>
    </row>
    <row r="3" spans="1:21" x14ac:dyDescent="0.25">
      <c r="A3" s="22" t="s">
        <v>71</v>
      </c>
      <c r="B3" s="434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434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221">
        <f>IF(Q2=0, Q4, (F18-K18-M18)/Q2)</f>
        <v>52.64</v>
      </c>
      <c r="T3" s="1"/>
      <c r="U3" s="22" t="s">
        <v>1070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52.64</v>
      </c>
      <c r="R4" s="495">
        <v>1.1900000000000001E-2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T9" s="156"/>
      <c r="U9" t="s">
        <v>1069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2.8495440729483283E-2</v>
      </c>
      <c r="R11">
        <v>1.5</v>
      </c>
    </row>
    <row r="12" spans="1:21" x14ac:dyDescent="0.25">
      <c r="H12" s="70"/>
      <c r="O12" s="11" t="s">
        <v>938</v>
      </c>
      <c r="Q12" s="1"/>
    </row>
    <row r="13" spans="1:21" x14ac:dyDescent="0.25">
      <c r="H13" s="70"/>
      <c r="O13" s="11" t="s">
        <v>965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57" t="s">
        <v>78</v>
      </c>
      <c r="P16" s="857"/>
    </row>
    <row r="17" spans="1:21" ht="15.75" thickTop="1" x14ac:dyDescent="0.25">
      <c r="O17" s="81">
        <v>1.1000000000000001</v>
      </c>
      <c r="P17" s="81">
        <f>O17*$Q$4</f>
        <v>57.904000000000003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57.377600000000008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7377</v>
      </c>
      <c r="G19" s="343"/>
      <c r="H19" s="343">
        <f>SumByColor($A$19,H2:H17)</f>
        <v>150</v>
      </c>
      <c r="I19" s="343"/>
      <c r="J19" s="343"/>
      <c r="K19" s="344">
        <f>SumByColor($A$19,K2:K17)</f>
        <v>7796</v>
      </c>
      <c r="L19" s="343"/>
      <c r="M19" s="344">
        <f>SumByColor($A$19,M2:M17)</f>
        <v>39</v>
      </c>
      <c r="O19" s="81">
        <v>1.08</v>
      </c>
      <c r="P19" s="81">
        <f t="shared" si="0"/>
        <v>56.851200000000006</v>
      </c>
    </row>
    <row r="20" spans="1:21" x14ac:dyDescent="0.25">
      <c r="O20" s="81">
        <v>1.07</v>
      </c>
      <c r="P20" s="81">
        <f t="shared" si="0"/>
        <v>56.324800000000003</v>
      </c>
    </row>
    <row r="21" spans="1:21" x14ac:dyDescent="0.25">
      <c r="O21" s="81">
        <v>1.06</v>
      </c>
      <c r="P21" s="81">
        <f t="shared" si="0"/>
        <v>55.798400000000001</v>
      </c>
    </row>
    <row r="22" spans="1:21" x14ac:dyDescent="0.25">
      <c r="O22" s="81">
        <v>1.05</v>
      </c>
      <c r="P22" s="81">
        <f t="shared" si="0"/>
        <v>55.272000000000006</v>
      </c>
    </row>
    <row r="23" spans="1:21" x14ac:dyDescent="0.25">
      <c r="O23" s="81">
        <v>1.04</v>
      </c>
      <c r="P23" s="81">
        <f t="shared" si="0"/>
        <v>54.745600000000003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662</v>
      </c>
      <c r="L24" s="220" t="s">
        <v>494</v>
      </c>
      <c r="O24" s="81">
        <v>1.03</v>
      </c>
      <c r="P24" s="81">
        <f t="shared" si="0"/>
        <v>54.219200000000001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222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53.692799999999998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222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53.166400000000003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222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52.64</v>
      </c>
    </row>
    <row r="28" spans="1:21" x14ac:dyDescent="0.25">
      <c r="B28" s="184">
        <v>43291</v>
      </c>
      <c r="C28" s="10">
        <v>0</v>
      </c>
      <c r="D28" s="39"/>
      <c r="E28" s="39">
        <v>52.63</v>
      </c>
      <c r="F28" s="39">
        <v>458.44</v>
      </c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52.113599999999998</v>
      </c>
      <c r="U28" t="s">
        <v>1068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51.587200000000003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51.0608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50.534399999999998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50.007999999999996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49.4816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48.955200000000005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48.428800000000003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47.9024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47.376000000000005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662</v>
      </c>
      <c r="L88" s="220" t="s">
        <v>668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50" priority="35">
      <formula>F47&gt;0</formula>
    </cfRule>
    <cfRule type="expression" dxfId="1949" priority="36">
      <formula>F47&lt;0</formula>
    </cfRule>
  </conditionalFormatting>
  <conditionalFormatting sqref="Q7">
    <cfRule type="expression" dxfId="1948" priority="33">
      <formula>Q7&gt;0</formula>
    </cfRule>
    <cfRule type="expression" dxfId="1947" priority="34">
      <formula>Q7&lt;0</formula>
    </cfRule>
  </conditionalFormatting>
  <conditionalFormatting sqref="Q8">
    <cfRule type="expression" dxfId="1946" priority="31">
      <formula>Q8&gt;0</formula>
    </cfRule>
    <cfRule type="expression" dxfId="1945" priority="32">
      <formula>Q8&lt;0</formula>
    </cfRule>
  </conditionalFormatting>
  <conditionalFormatting sqref="F30:F46">
    <cfRule type="expression" dxfId="1944" priority="29">
      <formula>F30&gt;0</formula>
    </cfRule>
    <cfRule type="expression" dxfId="1943" priority="30">
      <formula>F30&lt;0</formula>
    </cfRule>
  </conditionalFormatting>
  <conditionalFormatting sqref="H30:H46">
    <cfRule type="expression" dxfId="1942" priority="27">
      <formula>H30&gt;0</formula>
    </cfRule>
    <cfRule type="expression" dxfId="1941" priority="28">
      <formula>H30&lt;0</formula>
    </cfRule>
  </conditionalFormatting>
  <conditionalFormatting sqref="Q10">
    <cfRule type="expression" dxfId="1940" priority="25">
      <formula>Q10&gt;0</formula>
    </cfRule>
    <cfRule type="expression" dxfId="1939" priority="26">
      <formula>Q10&lt;0</formula>
    </cfRule>
  </conditionalFormatting>
  <conditionalFormatting sqref="J25:J38">
    <cfRule type="expression" dxfId="1938" priority="23">
      <formula>J25&gt;0</formula>
    </cfRule>
    <cfRule type="expression" dxfId="1937" priority="24">
      <formula>J25&lt;0</formula>
    </cfRule>
  </conditionalFormatting>
  <conditionalFormatting sqref="K25:K38">
    <cfRule type="expression" dxfId="1936" priority="21">
      <formula>K25&gt;0</formula>
    </cfRule>
    <cfRule type="expression" dxfId="1935" priority="22">
      <formula>K25&lt;0</formula>
    </cfRule>
  </conditionalFormatting>
  <conditionalFormatting sqref="L25 L38">
    <cfRule type="expression" dxfId="1934" priority="19">
      <formula>L25&gt;0</formula>
    </cfRule>
    <cfRule type="expression" dxfId="1933" priority="20">
      <formula>L25&lt;0</formula>
    </cfRule>
  </conditionalFormatting>
  <conditionalFormatting sqref="F89:F110">
    <cfRule type="expression" dxfId="1932" priority="17">
      <formula>F89&gt;0</formula>
    </cfRule>
    <cfRule type="expression" dxfId="1931" priority="18">
      <formula>F89&lt;0</formula>
    </cfRule>
  </conditionalFormatting>
  <conditionalFormatting sqref="H89:H110">
    <cfRule type="expression" dxfId="1930" priority="15">
      <formula>H89&gt;0</formula>
    </cfRule>
    <cfRule type="expression" dxfId="1929" priority="16">
      <formula>H89&lt;0</formula>
    </cfRule>
  </conditionalFormatting>
  <conditionalFormatting sqref="J89:J102">
    <cfRule type="expression" dxfId="1928" priority="13">
      <formula>J89&gt;0</formula>
    </cfRule>
    <cfRule type="expression" dxfId="1927" priority="14">
      <formula>J89&lt;0</formula>
    </cfRule>
  </conditionalFormatting>
  <conditionalFormatting sqref="K89:K102">
    <cfRule type="expression" dxfId="1926" priority="11">
      <formula>K89&gt;0</formula>
    </cfRule>
    <cfRule type="expression" dxfId="1925" priority="12">
      <formula>K89&lt;0</formula>
    </cfRule>
  </conditionalFormatting>
  <conditionalFormatting sqref="L89:L102">
    <cfRule type="expression" dxfId="1924" priority="9">
      <formula>L89&gt;0</formula>
    </cfRule>
    <cfRule type="expression" dxfId="1923" priority="10">
      <formula>L89&lt;0</formula>
    </cfRule>
  </conditionalFormatting>
  <conditionalFormatting sqref="F25 F29">
    <cfRule type="expression" dxfId="1922" priority="7">
      <formula>F25&gt;0</formula>
    </cfRule>
    <cfRule type="expression" dxfId="1921" priority="8">
      <formula>F25&lt;0</formula>
    </cfRule>
  </conditionalFormatting>
  <conditionalFormatting sqref="H29 H25:H27">
    <cfRule type="expression" dxfId="1920" priority="5">
      <formula>H25&gt;0</formula>
    </cfRule>
    <cfRule type="expression" dxfId="1919" priority="6">
      <formula>H25&lt;0</formula>
    </cfRule>
  </conditionalFormatting>
  <conditionalFormatting sqref="F26:F28">
    <cfRule type="expression" dxfId="1918" priority="3">
      <formula>F26&gt;0</formula>
    </cfRule>
    <cfRule type="expression" dxfId="1917" priority="4">
      <formula>F26&lt;0</formula>
    </cfRule>
  </conditionalFormatting>
  <conditionalFormatting sqref="H28">
    <cfRule type="expression" dxfId="1916" priority="1">
      <formula>H28&gt;0</formula>
    </cfRule>
    <cfRule type="expression" dxfId="1915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288"/>
  <sheetViews>
    <sheetView topLeftCell="B1" zoomScaleNormal="100" workbookViewId="0">
      <pane ySplit="1" topLeftCell="A38" activePane="bottomLeft" state="frozen"/>
      <selection activeCell="A2" sqref="A2"/>
      <selection pane="bottomLeft" activeCell="U69" sqref="U69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5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33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5">
        <f>C57-H57</f>
        <v>1500</v>
      </c>
      <c r="T2" s="826" t="s">
        <v>344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27.715833333333347</v>
      </c>
      <c r="T3" s="813" t="s">
        <v>456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28.6999</v>
      </c>
      <c r="R4" s="222">
        <v>2.0999999999999999E-3</v>
      </c>
      <c r="T4" s="34" t="s">
        <v>664</v>
      </c>
      <c r="U4" s="22" t="s">
        <v>663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43049.85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41573.750000000022</v>
      </c>
      <c r="T6" s="813" t="s">
        <v>1006</v>
      </c>
      <c r="U6" t="s">
        <v>1008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3224.0699999999633</v>
      </c>
      <c r="R7">
        <v>1500</v>
      </c>
      <c r="T7" s="813" t="s">
        <v>1136</v>
      </c>
      <c r="U7" t="s">
        <v>1137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K57+M57-F57+Q2*Q4</f>
        <v>1476.0999999999694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207</v>
      </c>
      <c r="Q9" s="222">
        <f>IF(Q2=0, 0, Q8/Q6)</f>
        <v>3.5505577437685287E-2</v>
      </c>
      <c r="T9" s="813" t="s">
        <v>513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4">
        <v>200</v>
      </c>
      <c r="D10" s="231">
        <v>30.58</v>
      </c>
      <c r="E10" s="3">
        <v>0</v>
      </c>
      <c r="F10" s="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206</v>
      </c>
      <c r="P10" s="33"/>
      <c r="Q10" s="2">
        <f>M257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4">
        <v>200</v>
      </c>
      <c r="D11" s="231">
        <v>30.38</v>
      </c>
      <c r="E11" s="3">
        <v>0</v>
      </c>
      <c r="F11" s="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1.9512263108930696E-2</v>
      </c>
      <c r="R11">
        <v>0.14000000000000001</v>
      </c>
      <c r="T11" s="813">
        <v>43095</v>
      </c>
      <c r="U11" t="s">
        <v>776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938</v>
      </c>
      <c r="Q12" s="29" t="s">
        <v>1145</v>
      </c>
      <c r="U12" t="s">
        <v>782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1007</v>
      </c>
      <c r="Q13" s="2">
        <f>Q4/(2+2.15)*2</f>
        <v>13.831277108433733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/>
      <c r="Q14" s="736"/>
      <c r="T14" s="813">
        <v>43102</v>
      </c>
      <c r="U14" t="s">
        <v>839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11" t="s">
        <v>1031</v>
      </c>
      <c r="Q15" s="29">
        <v>43285</v>
      </c>
      <c r="U15" t="s">
        <v>827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3">
        <v>43104</v>
      </c>
      <c r="U17" t="s">
        <v>837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838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3">
        <v>43105</v>
      </c>
      <c r="U19" t="s">
        <v>843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3">
        <v>43112</v>
      </c>
      <c r="U21" t="s">
        <v>851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57" t="s">
        <v>78</v>
      </c>
      <c r="P22" s="857"/>
      <c r="U22" t="s">
        <v>852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31.569890000000001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31.282891000000003</v>
      </c>
      <c r="Q24" s="2"/>
      <c r="T24" s="813">
        <v>43126</v>
      </c>
      <c r="U24" t="s">
        <v>902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30.995892000000001</v>
      </c>
      <c r="Q25" s="2"/>
      <c r="U25" t="s">
        <v>903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4">
        <v>300</v>
      </c>
      <c r="D26" s="231">
        <v>29.28</v>
      </c>
      <c r="E26" s="3">
        <v>0</v>
      </c>
      <c r="F26" s="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30.708893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30.421894000000002</v>
      </c>
      <c r="Q27" s="2"/>
      <c r="T27" s="814">
        <v>43153</v>
      </c>
      <c r="U27" t="s">
        <v>942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30.134895</v>
      </c>
      <c r="Q28" s="2"/>
      <c r="T28" s="814"/>
      <c r="W28" s="134"/>
      <c r="AA28" s="2"/>
      <c r="AD28" s="2"/>
      <c r="AG28" s="2"/>
      <c r="AI28" s="2"/>
    </row>
    <row r="29" spans="2:39" x14ac:dyDescent="0.25">
      <c r="B29" s="476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29.847896000000002</v>
      </c>
      <c r="Q29" s="2"/>
      <c r="T29" s="814">
        <v>43161</v>
      </c>
      <c r="U29" t="s">
        <v>941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29.560897000000001</v>
      </c>
      <c r="Q30" s="2"/>
      <c r="T30" s="814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29.273897999999999</v>
      </c>
      <c r="Q31" s="2"/>
      <c r="T31" s="814">
        <v>43167</v>
      </c>
      <c r="U31" t="s">
        <v>968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28.986899000000001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28.6999</v>
      </c>
      <c r="Q33" s="2"/>
      <c r="T33" s="813">
        <v>43196</v>
      </c>
      <c r="U33" t="s">
        <v>961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29"/>
      <c r="H34" s="176"/>
      <c r="I34" s="3"/>
      <c r="J34" s="3"/>
      <c r="K34" s="3"/>
      <c r="O34" s="81">
        <v>0.99</v>
      </c>
      <c r="P34" s="81">
        <f t="shared" si="2"/>
        <v>28.412900999999998</v>
      </c>
      <c r="Q34" s="2"/>
      <c r="U34" t="s">
        <v>983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29"/>
      <c r="O35" s="81">
        <v>0.98</v>
      </c>
      <c r="P35" s="81">
        <f t="shared" si="2"/>
        <v>28.125902</v>
      </c>
      <c r="Q35" s="2"/>
      <c r="T35" s="813">
        <v>43200</v>
      </c>
      <c r="U35" t="s">
        <v>998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7"/>
      <c r="O36" s="81">
        <v>0.97</v>
      </c>
      <c r="P36" s="81">
        <f t="shared" si="2"/>
        <v>27.838902999999998</v>
      </c>
      <c r="T36" s="813">
        <v>43203</v>
      </c>
      <c r="U36" t="s">
        <v>997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7"/>
      <c r="O37" s="81">
        <v>0.96</v>
      </c>
      <c r="P37" s="81">
        <f t="shared" si="2"/>
        <v>27.551903999999997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:F47" si="3">D38*C38+E38</f>
        <v>1942.4</v>
      </c>
      <c r="G38" s="29"/>
      <c r="O38" s="81">
        <v>0.95</v>
      </c>
      <c r="P38" s="81">
        <f t="shared" si="2"/>
        <v>27.264904999999999</v>
      </c>
      <c r="T38" s="813">
        <v>43210</v>
      </c>
      <c r="U38" t="s">
        <v>1003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29"/>
      <c r="O39" s="81">
        <v>0.94</v>
      </c>
      <c r="P39" s="81">
        <f t="shared" si="2"/>
        <v>26.977905999999997</v>
      </c>
      <c r="U39" t="s">
        <v>1004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29"/>
      <c r="O40" s="81">
        <v>0.93</v>
      </c>
      <c r="P40" s="81">
        <f t="shared" si="2"/>
        <v>26.690906999999999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77"/>
      <c r="O41" s="81">
        <v>0.92</v>
      </c>
      <c r="P41" s="81">
        <f t="shared" si="2"/>
        <v>26.403908000000001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77"/>
      <c r="O42" s="81">
        <v>0.91</v>
      </c>
      <c r="P42" s="81">
        <f t="shared" si="2"/>
        <v>26.116909</v>
      </c>
      <c r="T42" s="813">
        <v>43214</v>
      </c>
      <c r="U42" t="s">
        <v>1009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25.829910000000002</v>
      </c>
      <c r="T43" s="813">
        <v>43221</v>
      </c>
      <c r="U43" t="s">
        <v>1049</v>
      </c>
      <c r="W43" s="134"/>
      <c r="AA43" s="2"/>
      <c r="AD43" s="2"/>
      <c r="AG43" s="2"/>
      <c r="AI43" s="2"/>
    </row>
    <row r="44" spans="1:39" x14ac:dyDescent="0.25">
      <c r="A44" t="s">
        <v>1130</v>
      </c>
      <c r="B44" s="47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814">
        <v>43223</v>
      </c>
      <c r="U44" t="s">
        <v>1047</v>
      </c>
      <c r="W44" s="134"/>
      <c r="AA44" s="2"/>
      <c r="AD44" s="2"/>
      <c r="AG44" s="2"/>
      <c r="AI44" s="2"/>
    </row>
    <row r="45" spans="1:39" x14ac:dyDescent="0.25">
      <c r="B45" s="477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77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813">
        <v>43224</v>
      </c>
      <c r="U46" s="475" t="s">
        <v>1048</v>
      </c>
      <c r="W46" s="134"/>
      <c r="AA46" s="2"/>
      <c r="AD46" s="2"/>
      <c r="AG46" s="2"/>
      <c r="AI46" s="2"/>
    </row>
    <row r="47" spans="1:39" x14ac:dyDescent="0.25">
      <c r="B47" s="477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29"/>
      <c r="C48" s="4"/>
      <c r="D48" s="231"/>
      <c r="E48" s="3"/>
      <c r="F48" s="3"/>
      <c r="G48" s="29"/>
      <c r="T48" s="813">
        <v>43236</v>
      </c>
      <c r="U48" t="s">
        <v>1073</v>
      </c>
      <c r="W48" s="134"/>
      <c r="AA48" s="2"/>
      <c r="AD48" s="2"/>
      <c r="AG48" s="2"/>
      <c r="AI48" s="2"/>
    </row>
    <row r="49" spans="1:39" x14ac:dyDescent="0.25">
      <c r="B49" s="29"/>
      <c r="C49" s="4"/>
      <c r="D49" s="3"/>
      <c r="E49" s="3"/>
      <c r="F49" s="3"/>
      <c r="G49" s="29"/>
      <c r="T49" s="833">
        <v>43237</v>
      </c>
      <c r="U49" t="s">
        <v>1005</v>
      </c>
      <c r="W49" s="134"/>
      <c r="AA49" s="2"/>
      <c r="AD49" s="2"/>
      <c r="AG49" s="2"/>
      <c r="AI49" s="2"/>
    </row>
    <row r="50" spans="1:39" x14ac:dyDescent="0.25">
      <c r="B50" s="29"/>
      <c r="D50" s="78"/>
      <c r="G50" s="29"/>
      <c r="U50" t="s">
        <v>1075</v>
      </c>
      <c r="W50" s="134"/>
      <c r="AA50" s="2"/>
      <c r="AD50" s="2"/>
      <c r="AG50" s="2"/>
      <c r="AI50" s="2"/>
    </row>
    <row r="51" spans="1:39" x14ac:dyDescent="0.25">
      <c r="B51" s="29"/>
      <c r="C51" s="4"/>
      <c r="D51" s="3"/>
      <c r="E51" s="3"/>
      <c r="F51" s="3"/>
      <c r="G51" s="29"/>
      <c r="U51" t="s">
        <v>1077</v>
      </c>
      <c r="W51" s="134"/>
      <c r="AA51" s="2"/>
      <c r="AD51" s="2"/>
      <c r="AG51" s="2"/>
      <c r="AI51" s="2"/>
    </row>
    <row r="52" spans="1:39" x14ac:dyDescent="0.25">
      <c r="B52" s="29"/>
      <c r="D52" s="78"/>
      <c r="G52" s="29"/>
      <c r="AA52" s="2"/>
      <c r="AD52" s="2"/>
      <c r="AG52" s="2"/>
      <c r="AI52" s="2"/>
    </row>
    <row r="53" spans="1:39" x14ac:dyDescent="0.25">
      <c r="B53" s="29"/>
      <c r="C53" s="4"/>
      <c r="D53" s="3"/>
      <c r="E53" s="3"/>
      <c r="F53" s="3"/>
      <c r="G53" s="29"/>
      <c r="T53" s="813">
        <v>43243</v>
      </c>
      <c r="U53" t="s">
        <v>1088</v>
      </c>
      <c r="AA53" s="2"/>
      <c r="AD53" s="2"/>
      <c r="AG53" s="2"/>
      <c r="AI53" s="2"/>
    </row>
    <row r="54" spans="1:39" x14ac:dyDescent="0.25">
      <c r="B54" s="29"/>
      <c r="D54" s="78"/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14">
        <v>43272</v>
      </c>
      <c r="U56" t="s">
        <v>82</v>
      </c>
      <c r="AA56" s="2"/>
      <c r="AD56" s="2"/>
      <c r="AG56" s="2"/>
      <c r="AI56" s="2"/>
    </row>
    <row r="57" spans="1:39" x14ac:dyDescent="0.25">
      <c r="A57" s="31" t="s">
        <v>81</v>
      </c>
      <c r="B57" s="14"/>
      <c r="C57" s="14">
        <f>SUM(C2:C56)</f>
        <v>11320</v>
      </c>
      <c r="D57" s="18"/>
      <c r="E57" s="18"/>
      <c r="F57" s="18">
        <f>SUM(F2:F56)</f>
        <v>298301.67</v>
      </c>
      <c r="G57" s="14"/>
      <c r="H57" s="14">
        <f>SUM(H2:H56)</f>
        <v>9820</v>
      </c>
      <c r="I57" s="18"/>
      <c r="J57" s="18"/>
      <c r="K57" s="18">
        <f>SUM(K2:K56)</f>
        <v>255509.51999999996</v>
      </c>
      <c r="L57" s="14"/>
      <c r="M57" s="18">
        <f>SUM(M2:M56)</f>
        <v>1218.4000000000001</v>
      </c>
      <c r="U57" t="s">
        <v>1147</v>
      </c>
      <c r="AA57" s="2"/>
      <c r="AD57" s="2"/>
      <c r="AG57" s="2"/>
      <c r="AI57" s="2"/>
    </row>
    <row r="58" spans="1:39" ht="15.75" thickBot="1" x14ac:dyDescent="0.3">
      <c r="A58" s="341" t="s">
        <v>193</v>
      </c>
      <c r="B58" s="342"/>
      <c r="C58" s="343">
        <f>SumByColor($A$58,C2:C56)</f>
        <v>9820</v>
      </c>
      <c r="D58" s="343"/>
      <c r="E58" s="343"/>
      <c r="F58" s="344">
        <f>SumByColor($A$58,F2:F56)</f>
        <v>253951</v>
      </c>
      <c r="G58" s="344"/>
      <c r="H58" s="747">
        <f>SumByColor($A$58,H2:H56)</f>
        <v>9820</v>
      </c>
      <c r="I58" s="343"/>
      <c r="J58" s="343"/>
      <c r="K58" s="344">
        <f>SumByColor($A$58,K2:K56)</f>
        <v>255514</v>
      </c>
      <c r="L58" s="343"/>
      <c r="M58" s="344">
        <f>SumByColor($A$58,M2:M56)</f>
        <v>1219</v>
      </c>
      <c r="AA58" s="2"/>
      <c r="AD58" s="2"/>
      <c r="AG58" s="2"/>
      <c r="AI58" s="2"/>
    </row>
    <row r="59" spans="1:39" x14ac:dyDescent="0.25">
      <c r="T59" s="813">
        <v>43273</v>
      </c>
      <c r="U59" t="s">
        <v>1131</v>
      </c>
      <c r="AA59" s="2"/>
      <c r="AD59" s="2"/>
      <c r="AG59" s="2"/>
      <c r="AI59" s="2"/>
    </row>
    <row r="60" spans="1:39" x14ac:dyDescent="0.25">
      <c r="AA60" s="2"/>
      <c r="AD60" s="2"/>
      <c r="AG60" s="2"/>
      <c r="AI60" s="2"/>
    </row>
    <row r="61" spans="1:39" x14ac:dyDescent="0.25">
      <c r="T61" s="813">
        <v>43274</v>
      </c>
      <c r="U61" t="s">
        <v>1132</v>
      </c>
      <c r="AA61" s="2"/>
      <c r="AD61" s="2"/>
      <c r="AG61" s="2"/>
      <c r="AI61" s="2"/>
    </row>
    <row r="62" spans="1:39" x14ac:dyDescent="0.25">
      <c r="U62" t="s">
        <v>1133</v>
      </c>
      <c r="AA62" s="2"/>
      <c r="AD62" s="2"/>
      <c r="AG62" s="2"/>
      <c r="AI62" s="2"/>
      <c r="AM62" s="2"/>
    </row>
    <row r="63" spans="1:39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494</v>
      </c>
      <c r="K63" s="220" t="s">
        <v>150</v>
      </c>
      <c r="L63" s="220" t="s">
        <v>721</v>
      </c>
      <c r="AA63" s="2"/>
      <c r="AD63" s="2"/>
      <c r="AG63" s="2"/>
      <c r="AI63" s="2"/>
    </row>
    <row r="64" spans="1:39" x14ac:dyDescent="0.25">
      <c r="A64" t="s">
        <v>333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4">C64*(E64-D64)</f>
        <v>-57.00000000000216</v>
      </c>
      <c r="G64" s="39">
        <f t="shared" ref="G64:G70" si="5">D64*C64</f>
        <v>13761.000000000002</v>
      </c>
      <c r="H64" s="222">
        <f t="shared" ref="H64:H70" si="6">(E64-D64)/D64</f>
        <v>-4.1421408327884717E-3</v>
      </c>
      <c r="I64" s="39">
        <v>34</v>
      </c>
      <c r="J64" s="39"/>
      <c r="K64" s="39"/>
      <c r="L64" s="39"/>
      <c r="T64" s="813">
        <v>43284</v>
      </c>
      <c r="U64" t="s">
        <v>1143</v>
      </c>
    </row>
    <row r="65" spans="1:21" x14ac:dyDescent="0.25">
      <c r="A65" t="s">
        <v>333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4"/>
        <v>-373.00000000000182</v>
      </c>
      <c r="G65" s="39">
        <f t="shared" si="5"/>
        <v>13761.000000000002</v>
      </c>
      <c r="H65" s="222">
        <f t="shared" si="6"/>
        <v>-2.7105588256667524E-2</v>
      </c>
      <c r="I65" s="39"/>
      <c r="J65" s="39"/>
      <c r="K65" s="39"/>
      <c r="L65" s="39"/>
      <c r="U65" t="s">
        <v>1144</v>
      </c>
    </row>
    <row r="66" spans="1:21" x14ac:dyDescent="0.25">
      <c r="A66" t="s">
        <v>363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4"/>
        <v>-391.00000000000182</v>
      </c>
      <c r="G66" s="39">
        <f t="shared" si="5"/>
        <v>17071</v>
      </c>
      <c r="H66" s="222">
        <f t="shared" si="6"/>
        <v>-2.2904340694745579E-2</v>
      </c>
      <c r="I66" s="39">
        <v>33.75</v>
      </c>
      <c r="J66" s="39"/>
      <c r="K66" s="39"/>
      <c r="L66" s="39"/>
    </row>
    <row r="67" spans="1:21" x14ac:dyDescent="0.25">
      <c r="A67" t="s">
        <v>387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4"/>
        <v>-60.999999999999943</v>
      </c>
      <c r="G67" s="39">
        <f t="shared" si="5"/>
        <v>17071</v>
      </c>
      <c r="H67" s="222">
        <f t="shared" si="6"/>
        <v>-3.5733114638861192E-3</v>
      </c>
      <c r="I67" s="39"/>
      <c r="J67" s="39"/>
      <c r="K67" s="39"/>
      <c r="L67" s="39"/>
      <c r="T67" s="813">
        <v>43307</v>
      </c>
      <c r="U67" t="s">
        <v>1232</v>
      </c>
    </row>
    <row r="68" spans="1:21" x14ac:dyDescent="0.25">
      <c r="A68" t="s">
        <v>403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4"/>
        <v>-531.00000000000307</v>
      </c>
      <c r="G68" s="39">
        <f t="shared" si="5"/>
        <v>20379.000000000004</v>
      </c>
      <c r="H68" s="222">
        <f t="shared" si="6"/>
        <v>-2.6056234358899016E-2</v>
      </c>
      <c r="I68" s="39"/>
      <c r="J68" s="39"/>
      <c r="K68" s="39"/>
      <c r="L68" s="39"/>
    </row>
    <row r="69" spans="1:21" x14ac:dyDescent="0.25">
      <c r="A69" t="s">
        <v>364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4"/>
        <v>-291.00000000000392</v>
      </c>
      <c r="G69" s="39">
        <f t="shared" si="5"/>
        <v>20379.000000000004</v>
      </c>
      <c r="H69" s="222">
        <f t="shared" si="6"/>
        <v>-1.4279405270131208E-2</v>
      </c>
      <c r="I69" s="39"/>
      <c r="J69" s="39"/>
      <c r="K69" s="39"/>
      <c r="L69" s="39"/>
    </row>
    <row r="70" spans="1:21" x14ac:dyDescent="0.25">
      <c r="A70" t="s">
        <v>427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4"/>
        <v>36.839999999997985</v>
      </c>
      <c r="G70" s="39">
        <f t="shared" si="5"/>
        <v>13539.160000000002</v>
      </c>
      <c r="H70" s="222">
        <f t="shared" si="6"/>
        <v>2.7209959849797166E-3</v>
      </c>
      <c r="I70" s="39" t="s">
        <v>435</v>
      </c>
      <c r="J70" s="39"/>
      <c r="K70" s="39"/>
      <c r="L70" s="39"/>
    </row>
    <row r="71" spans="1:21" x14ac:dyDescent="0.25">
      <c r="A71" t="s">
        <v>334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:F102" si="7">C71*(E71-D71)</f>
        <v>-217.15200000000294</v>
      </c>
      <c r="G71" s="39">
        <f t="shared" ref="G71:G102" si="8">D71*C71</f>
        <v>20155.152000000002</v>
      </c>
      <c r="H71" s="222">
        <f t="shared" ref="H71:H102" si="9">(E71-D71)/D71</f>
        <v>-1.0774019466586158E-2</v>
      </c>
      <c r="I71" s="39">
        <v>33</v>
      </c>
      <c r="J71" s="39"/>
      <c r="K71" s="39"/>
      <c r="L71" s="39"/>
    </row>
    <row r="72" spans="1:21" x14ac:dyDescent="0.25">
      <c r="A72" t="s">
        <v>459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si="7"/>
        <v>-815.12000000000171</v>
      </c>
      <c r="G72" s="39">
        <f t="shared" si="8"/>
        <v>26591.120000000003</v>
      </c>
      <c r="H72" s="222">
        <f t="shared" si="9"/>
        <v>-3.0653842335336072E-2</v>
      </c>
      <c r="I72" s="39"/>
      <c r="J72" s="39"/>
      <c r="K72" s="39"/>
      <c r="L72" s="39"/>
      <c r="T72" s="848">
        <v>43377</v>
      </c>
      <c r="U72" t="s">
        <v>1178</v>
      </c>
    </row>
    <row r="73" spans="1:21" x14ac:dyDescent="0.25">
      <c r="A73" t="s">
        <v>464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si="7"/>
        <v>-1989.12</v>
      </c>
      <c r="G73" s="39">
        <f t="shared" si="8"/>
        <v>44927.12</v>
      </c>
      <c r="H73" s="222">
        <f t="shared" si="9"/>
        <v>-4.4274371470951167E-2</v>
      </c>
      <c r="I73" s="39"/>
      <c r="J73" s="39"/>
      <c r="K73" s="39"/>
      <c r="L73" s="39"/>
    </row>
    <row r="74" spans="1:21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si="7"/>
        <v>-3487.4999999999991</v>
      </c>
      <c r="G74" s="39">
        <f t="shared" si="8"/>
        <v>47932.5</v>
      </c>
      <c r="H74" s="222">
        <f t="shared" si="9"/>
        <v>-7.2758566734470329E-2</v>
      </c>
      <c r="I74" s="39"/>
      <c r="J74" s="39"/>
      <c r="K74" s="39">
        <v>-1739</v>
      </c>
      <c r="L74" s="39"/>
    </row>
    <row r="75" spans="1:21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si="7"/>
        <v>-4805.9000000000033</v>
      </c>
      <c r="G75" s="39">
        <f t="shared" si="8"/>
        <v>53595.9</v>
      </c>
      <c r="H75" s="222">
        <f t="shared" si="9"/>
        <v>-8.9669172455355772E-2</v>
      </c>
      <c r="I75" s="39"/>
      <c r="J75" s="39">
        <v>23.65</v>
      </c>
      <c r="K75" s="39">
        <v>-3059</v>
      </c>
      <c r="L75" s="39"/>
    </row>
    <row r="76" spans="1:21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si="7"/>
        <v>-4532.9999999999973</v>
      </c>
      <c r="G76" s="39">
        <f t="shared" si="8"/>
        <v>47793</v>
      </c>
      <c r="H76" s="222">
        <f t="shared" si="9"/>
        <v>-9.4846525641830354E-2</v>
      </c>
      <c r="I76" s="39"/>
      <c r="J76" s="39">
        <v>25.81</v>
      </c>
      <c r="K76" s="39">
        <v>-2785</v>
      </c>
      <c r="L76" s="39"/>
    </row>
    <row r="77" spans="1:21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si="7"/>
        <v>-4142.9999999999955</v>
      </c>
      <c r="G77" s="39">
        <f t="shared" si="8"/>
        <v>47793</v>
      </c>
      <c r="H77" s="222">
        <f t="shared" si="9"/>
        <v>-8.6686334818906446E-2</v>
      </c>
      <c r="I77" s="39"/>
      <c r="J77" s="39"/>
      <c r="K77" s="39">
        <v>-2395</v>
      </c>
      <c r="L77" s="39"/>
    </row>
    <row r="78" spans="1:21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si="7"/>
        <v>-3764.9999999999968</v>
      </c>
      <c r="G78" s="39">
        <f t="shared" si="8"/>
        <v>47790</v>
      </c>
      <c r="H78" s="222">
        <f t="shared" si="9"/>
        <v>-7.878217200251092E-2</v>
      </c>
      <c r="I78" s="39"/>
      <c r="J78" s="39"/>
      <c r="K78" s="39">
        <v>-2016</v>
      </c>
      <c r="L78" s="39"/>
    </row>
    <row r="79" spans="1:21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si="7"/>
        <v>-3944.9999999999986</v>
      </c>
      <c r="G79" s="39">
        <f t="shared" si="8"/>
        <v>47790</v>
      </c>
      <c r="H79" s="222">
        <f t="shared" si="9"/>
        <v>-8.2548650345260488E-2</v>
      </c>
      <c r="I79" s="39">
        <v>31</v>
      </c>
      <c r="J79" s="39"/>
      <c r="K79" s="39">
        <v>-2196</v>
      </c>
      <c r="L79" s="39"/>
    </row>
    <row r="80" spans="1:21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7"/>
        <v>-11658.96</v>
      </c>
      <c r="G80" s="39">
        <f t="shared" si="8"/>
        <v>55182.96</v>
      </c>
      <c r="H80" s="222">
        <f t="shared" si="9"/>
        <v>-0.21127826415980586</v>
      </c>
      <c r="I80" s="39">
        <v>30</v>
      </c>
      <c r="J80" s="39"/>
      <c r="K80" s="39"/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si="7"/>
        <v>-14922.88</v>
      </c>
      <c r="G81" s="39">
        <f t="shared" si="8"/>
        <v>59502.879999999997</v>
      </c>
      <c r="H81" s="222">
        <f t="shared" si="9"/>
        <v>-0.25079256667912547</v>
      </c>
      <c r="I81" s="39"/>
      <c r="J81" s="39"/>
      <c r="K81" s="39">
        <v>-13175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si="7"/>
        <v>-12982.879999999994</v>
      </c>
      <c r="G82" s="39">
        <f t="shared" si="8"/>
        <v>59502.879999999997</v>
      </c>
      <c r="H82" s="222">
        <f t="shared" si="9"/>
        <v>-0.21818910277956285</v>
      </c>
      <c r="I82" s="39"/>
      <c r="J82" s="39"/>
      <c r="K82" s="39">
        <v>-11235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si="7"/>
        <v>-10943.942999999997</v>
      </c>
      <c r="G83" s="39">
        <f t="shared" si="8"/>
        <v>57075.942999999999</v>
      </c>
      <c r="H83" s="222">
        <f t="shared" si="9"/>
        <v>-0.1917435336986022</v>
      </c>
      <c r="I83" s="39"/>
      <c r="J83" s="39"/>
      <c r="K83" s="39">
        <v>-9196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si="7"/>
        <v>-8839.9999999999964</v>
      </c>
      <c r="G84" s="39">
        <f t="shared" si="8"/>
        <v>59400</v>
      </c>
      <c r="H84" s="222">
        <f t="shared" si="9"/>
        <v>-0.14882154882154877</v>
      </c>
      <c r="I84" s="39"/>
      <c r="J84" s="39"/>
      <c r="K84" s="39">
        <v>-11435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si="7"/>
        <v>-14325.999999999993</v>
      </c>
      <c r="G85" s="39">
        <f t="shared" si="8"/>
        <v>59166</v>
      </c>
      <c r="H85" s="222">
        <f t="shared" si="9"/>
        <v>-0.24213230571612065</v>
      </c>
      <c r="I85" s="39"/>
      <c r="J85" s="39"/>
      <c r="K85" s="39">
        <v>-12815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si="7"/>
        <v>-16722.480000000003</v>
      </c>
      <c r="G86" s="39">
        <f t="shared" si="8"/>
        <v>67314.48</v>
      </c>
      <c r="H86" s="222">
        <f t="shared" si="9"/>
        <v>-0.24842322186845983</v>
      </c>
      <c r="I86" s="39"/>
      <c r="J86" s="39"/>
      <c r="K86" s="39">
        <v>-14974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si="7"/>
        <v>-16623.999999999996</v>
      </c>
      <c r="G87" s="39">
        <f t="shared" si="8"/>
        <v>58894</v>
      </c>
      <c r="H87" s="222">
        <f t="shared" si="9"/>
        <v>-0.28226984073080441</v>
      </c>
      <c r="I87" s="39">
        <v>29</v>
      </c>
      <c r="J87" s="39"/>
      <c r="K87" s="39">
        <v>-14836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si="7"/>
        <v>-16013.999999999996</v>
      </c>
      <c r="G88" s="39">
        <f t="shared" si="8"/>
        <v>58894</v>
      </c>
      <c r="H88" s="222">
        <f t="shared" si="9"/>
        <v>-0.27191224912554751</v>
      </c>
      <c r="I88" s="39"/>
      <c r="J88" s="39"/>
      <c r="K88" s="39">
        <v>-14267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si="7"/>
        <v>-18460.640000000003</v>
      </c>
      <c r="G89" s="39">
        <f t="shared" si="8"/>
        <v>62944.639999999999</v>
      </c>
      <c r="H89" s="222">
        <f t="shared" si="9"/>
        <v>-0.29328374902136228</v>
      </c>
      <c r="I89" s="39"/>
      <c r="J89" s="39"/>
      <c r="K89" s="39">
        <v>-16713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7"/>
        <v>-17704</v>
      </c>
      <c r="G90" s="39">
        <f t="shared" si="8"/>
        <v>58824</v>
      </c>
      <c r="H90" s="222">
        <f t="shared" si="9"/>
        <v>-0.30096559227526182</v>
      </c>
      <c r="I90" s="39"/>
      <c r="J90" s="39"/>
      <c r="K90" s="39">
        <v>-15957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si="7"/>
        <v>-16223.999999999996</v>
      </c>
      <c r="G91" s="39">
        <f t="shared" si="8"/>
        <v>58824</v>
      </c>
      <c r="H91" s="222">
        <f t="shared" si="9"/>
        <v>-0.27580579355365153</v>
      </c>
      <c r="I91" s="39"/>
      <c r="J91" s="39">
        <v>54.85</v>
      </c>
      <c r="K91" s="39">
        <v>-14477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si="7"/>
        <v>-16123.999999999995</v>
      </c>
      <c r="G92" s="39">
        <f t="shared" si="8"/>
        <v>58824</v>
      </c>
      <c r="H92" s="222">
        <f t="shared" si="9"/>
        <v>-0.27410580715354271</v>
      </c>
      <c r="I92" s="39"/>
      <c r="J92" s="39"/>
      <c r="K92" s="39">
        <v>-14377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si="7"/>
        <v>-14664.000000000002</v>
      </c>
      <c r="G93" s="39">
        <f t="shared" si="8"/>
        <v>58824</v>
      </c>
      <c r="H93" s="222">
        <f t="shared" si="9"/>
        <v>-0.24928600571195433</v>
      </c>
      <c r="I93" s="39"/>
      <c r="J93" s="39"/>
      <c r="K93" s="39">
        <v>-12917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si="7"/>
        <v>-12171.6</v>
      </c>
      <c r="G94" s="39">
        <f t="shared" si="8"/>
        <v>54309.599999999999</v>
      </c>
      <c r="H94" s="222">
        <f t="shared" si="9"/>
        <v>-0.22411507357815194</v>
      </c>
      <c r="I94" s="39"/>
      <c r="J94" s="39"/>
      <c r="K94" s="39">
        <v>-10423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si="7"/>
        <v>-6716.6999999999953</v>
      </c>
      <c r="G95" s="39">
        <f t="shared" si="8"/>
        <v>51664.7</v>
      </c>
      <c r="H95" s="222">
        <f t="shared" si="9"/>
        <v>-0.13000559376131082</v>
      </c>
      <c r="I95" s="39"/>
      <c r="J95" s="39"/>
      <c r="K95" s="39">
        <v>-4969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si="7"/>
        <v>-5628.8000000000011</v>
      </c>
      <c r="G96" s="39">
        <f t="shared" si="8"/>
        <v>48956.799999999996</v>
      </c>
      <c r="H96" s="222">
        <f t="shared" si="9"/>
        <v>-0.11497483495653313</v>
      </c>
      <c r="I96" s="39"/>
      <c r="J96" s="39"/>
      <c r="K96" s="39">
        <v>-3881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si="7"/>
        <v>-7635.0399999999981</v>
      </c>
      <c r="G97" s="39">
        <f t="shared" si="8"/>
        <v>48707.040000000001</v>
      </c>
      <c r="H97" s="222">
        <f t="shared" si="9"/>
        <v>-0.15675434187747803</v>
      </c>
      <c r="I97" s="39"/>
      <c r="J97" s="39"/>
      <c r="K97" s="39">
        <v>-5887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si="7"/>
        <v>-6019.0400000000009</v>
      </c>
      <c r="G98" s="39">
        <f t="shared" si="8"/>
        <v>48707.040000000001</v>
      </c>
      <c r="H98" s="222">
        <f t="shared" si="9"/>
        <v>-0.12357638649361573</v>
      </c>
      <c r="I98" s="39"/>
      <c r="J98" s="39"/>
      <c r="K98" s="39">
        <v>-4271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si="7"/>
        <v>-5426.9999999999982</v>
      </c>
      <c r="G99" s="39">
        <f t="shared" si="8"/>
        <v>46002</v>
      </c>
      <c r="H99" s="222">
        <f t="shared" si="9"/>
        <v>-0.11797313160297374</v>
      </c>
      <c r="I99" s="193" t="s">
        <v>766</v>
      </c>
      <c r="J99" s="39"/>
      <c r="K99" s="39">
        <v>-3679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si="7"/>
        <v>-5021.7999999999993</v>
      </c>
      <c r="G100" s="39">
        <f t="shared" si="8"/>
        <v>43269.8</v>
      </c>
      <c r="H100" s="222">
        <f t="shared" si="9"/>
        <v>-0.11605785097227164</v>
      </c>
      <c r="I100" s="39"/>
      <c r="J100" s="39"/>
      <c r="K100" s="39">
        <v>-3274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si="7"/>
        <v>-3724.4999999999982</v>
      </c>
      <c r="G101" s="39">
        <f t="shared" si="8"/>
        <v>40449.5</v>
      </c>
      <c r="H101" s="222">
        <f t="shared" si="9"/>
        <v>-9.2077775992286628E-2</v>
      </c>
      <c r="I101" s="39"/>
      <c r="J101" s="39"/>
      <c r="K101" s="39">
        <v>-1977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si="7"/>
        <v>-4290.9999999999964</v>
      </c>
      <c r="G102" s="39">
        <f t="shared" si="8"/>
        <v>43211</v>
      </c>
      <c r="H102" s="222">
        <f t="shared" si="9"/>
        <v>-9.9303418111129041E-2</v>
      </c>
      <c r="I102" s="39"/>
      <c r="J102" s="39">
        <v>68.33</v>
      </c>
      <c r="K102" s="39">
        <v>-2543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:F134" si="10">C103*(E103-D103)</f>
        <v>-3612.7</v>
      </c>
      <c r="G103" s="39">
        <f t="shared" ref="G103:G134" si="11">D103*C103</f>
        <v>40402.700000000004</v>
      </c>
      <c r="H103" s="222">
        <f t="shared" ref="H103:H134" si="12">(E103-D103)/D103</f>
        <v>-8.9417291418642811E-2</v>
      </c>
      <c r="I103" s="39"/>
      <c r="J103" s="39"/>
      <c r="K103" s="39">
        <v>-1865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si="10"/>
        <v>-4197.6999999999989</v>
      </c>
      <c r="G104" s="39">
        <f t="shared" si="11"/>
        <v>40402.700000000004</v>
      </c>
      <c r="H104" s="222">
        <f t="shared" si="12"/>
        <v>-0.10389652176710959</v>
      </c>
      <c r="I104" s="39"/>
      <c r="J104" s="39">
        <v>64.55</v>
      </c>
      <c r="K104" s="39">
        <v>-2450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si="10"/>
        <v>-5158.5</v>
      </c>
      <c r="G105" s="39">
        <f t="shared" si="11"/>
        <v>45823.5</v>
      </c>
      <c r="H105" s="222">
        <f t="shared" si="12"/>
        <v>-0.11257324298667715</v>
      </c>
      <c r="I105" s="39">
        <v>30.5</v>
      </c>
      <c r="J105" s="39"/>
      <c r="K105" s="39">
        <v>-3426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si="10"/>
        <v>-5729.0000000000018</v>
      </c>
      <c r="G106" s="39">
        <f t="shared" si="11"/>
        <v>51170</v>
      </c>
      <c r="H106" s="222">
        <f t="shared" si="12"/>
        <v>-0.11196013289036548</v>
      </c>
      <c r="I106" s="39"/>
      <c r="J106" s="39"/>
      <c r="K106" s="39">
        <v>-3981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si="10"/>
        <v>-4686.5000000000009</v>
      </c>
      <c r="G107" s="39">
        <f t="shared" si="11"/>
        <v>40202.5</v>
      </c>
      <c r="H107" s="222">
        <f t="shared" si="12"/>
        <v>-0.1165723524656427</v>
      </c>
      <c r="I107" s="39"/>
      <c r="J107" s="39"/>
      <c r="K107" s="39">
        <v>-2938</v>
      </c>
      <c r="L107" s="39"/>
      <c r="M107" t="s">
        <v>840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si="10"/>
        <v>-3841.5000000000023</v>
      </c>
      <c r="G108" s="39">
        <f t="shared" si="11"/>
        <v>40202.5</v>
      </c>
      <c r="H108" s="222">
        <f t="shared" si="12"/>
        <v>-9.5553759094583732E-2</v>
      </c>
      <c r="I108" s="39"/>
      <c r="J108" s="39"/>
      <c r="K108" s="39">
        <v>-2093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si="10"/>
        <v>-3578.9</v>
      </c>
      <c r="G109" s="39">
        <f t="shared" si="11"/>
        <v>40160.9</v>
      </c>
      <c r="H109" s="222">
        <f t="shared" si="12"/>
        <v>-8.9114038779011431E-2</v>
      </c>
      <c r="I109" s="39"/>
      <c r="J109" s="39">
        <v>62.75</v>
      </c>
      <c r="K109" s="39">
        <v>-1830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si="10"/>
        <v>-2889.8999999999987</v>
      </c>
      <c r="G110" s="39">
        <f t="shared" si="11"/>
        <v>40160.9</v>
      </c>
      <c r="H110" s="222">
        <f t="shared" si="12"/>
        <v>-7.1958048748907488E-2</v>
      </c>
      <c r="I110" s="39"/>
      <c r="J110" s="39"/>
      <c r="K110" s="39">
        <v>-1141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si="10"/>
        <v>-1500</v>
      </c>
      <c r="G111" s="39">
        <f t="shared" si="11"/>
        <v>31220</v>
      </c>
      <c r="H111" s="222">
        <f t="shared" si="12"/>
        <v>-4.8046124279308135E-2</v>
      </c>
      <c r="I111" s="39"/>
      <c r="J111" s="39">
        <v>73.25</v>
      </c>
      <c r="K111" s="39">
        <v>247.38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si="10"/>
        <v>-1485.6400000000015</v>
      </c>
      <c r="G112" s="39">
        <f t="shared" si="11"/>
        <v>40004.639999999999</v>
      </c>
      <c r="H112" s="222">
        <f t="shared" si="12"/>
        <v>-3.7136692143711368E-2</v>
      </c>
      <c r="I112" s="39"/>
      <c r="J112" s="39"/>
      <c r="K112" s="39">
        <v>262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si="10"/>
        <v>-1901.6400000000019</v>
      </c>
      <c r="G113" s="39">
        <f t="shared" si="11"/>
        <v>40004.639999999999</v>
      </c>
      <c r="H113" s="222">
        <f t="shared" si="12"/>
        <v>-4.7535485883637547E-2</v>
      </c>
      <c r="I113" s="39"/>
      <c r="J113" s="39">
        <v>67.23</v>
      </c>
      <c r="K113" s="39">
        <v>-154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0"/>
        <v>-594.99999999999886</v>
      </c>
      <c r="G114" s="39">
        <f t="shared" si="11"/>
        <v>30855</v>
      </c>
      <c r="H114" s="222">
        <f t="shared" si="12"/>
        <v>-1.9283746556473792E-2</v>
      </c>
      <c r="I114" s="39"/>
      <c r="J114" s="39"/>
      <c r="K114" s="39">
        <v>1153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si="10"/>
        <v>9.055999999998221</v>
      </c>
      <c r="G115" s="39">
        <f t="shared" si="11"/>
        <v>24694.944</v>
      </c>
      <c r="H115" s="222">
        <f t="shared" si="12"/>
        <v>3.6671474128462171E-4</v>
      </c>
      <c r="I115" s="39"/>
      <c r="J115" s="39">
        <v>76.23</v>
      </c>
      <c r="K115" s="39">
        <v>1757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si="10"/>
        <v>-350.99999999999943</v>
      </c>
      <c r="G116" s="39">
        <f t="shared" si="11"/>
        <v>39819</v>
      </c>
      <c r="H116" s="222">
        <f t="shared" si="12"/>
        <v>-8.8148873653280963E-3</v>
      </c>
      <c r="I116" s="39"/>
      <c r="J116" s="39"/>
      <c r="K116" s="39">
        <v>1253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si="10"/>
        <v>-1669.4999999999993</v>
      </c>
      <c r="G117" s="39">
        <f t="shared" si="11"/>
        <v>45679.5</v>
      </c>
      <c r="H117" s="222">
        <f t="shared" si="12"/>
        <v>-3.6548123337602191E-2</v>
      </c>
      <c r="I117" s="193" t="s">
        <v>911</v>
      </c>
      <c r="J117" s="39"/>
      <c r="K117" s="39">
        <v>78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si="10"/>
        <v>-1602.0000000000009</v>
      </c>
      <c r="G118" s="39">
        <f t="shared" si="11"/>
        <v>53928</v>
      </c>
      <c r="H118" s="222">
        <f t="shared" si="12"/>
        <v>-2.9706275033377857E-2</v>
      </c>
      <c r="I118" s="39"/>
      <c r="J118" s="39"/>
      <c r="K118" s="39">
        <v>144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si="10"/>
        <v>-4302.0000000000009</v>
      </c>
      <c r="G119" s="39">
        <f t="shared" si="11"/>
        <v>53928</v>
      </c>
      <c r="H119" s="222">
        <f t="shared" si="12"/>
        <v>-7.977303070761016E-2</v>
      </c>
      <c r="I119" s="39"/>
      <c r="J119" s="39"/>
      <c r="K119" s="39">
        <v>-2556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si="10"/>
        <v>-2106.0000000000032</v>
      </c>
      <c r="G120" s="39">
        <f t="shared" si="11"/>
        <v>53928</v>
      </c>
      <c r="H120" s="222">
        <f t="shared" si="12"/>
        <v>-3.905206942590126E-2</v>
      </c>
      <c r="I120" s="39"/>
      <c r="J120" s="39"/>
      <c r="K120" s="39">
        <v>-360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si="10"/>
        <v>-4446.0000000000045</v>
      </c>
      <c r="G121" s="39">
        <f t="shared" si="11"/>
        <v>53928</v>
      </c>
      <c r="H121" s="222">
        <f t="shared" si="12"/>
        <v>-8.2443257676902609E-2</v>
      </c>
      <c r="I121" s="39"/>
      <c r="J121" s="39"/>
      <c r="K121" s="39">
        <v>-2700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si="10"/>
        <v>-3286.7999999999947</v>
      </c>
      <c r="G122" s="39">
        <f t="shared" si="11"/>
        <v>53704.799999999996</v>
      </c>
      <c r="H122" s="222">
        <f t="shared" si="12"/>
        <v>-6.1201233409304098E-2</v>
      </c>
      <c r="I122" s="39"/>
      <c r="J122" s="39"/>
      <c r="K122" s="39">
        <v>-1539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si="10"/>
        <v>-5780.0000000000009</v>
      </c>
      <c r="G123" s="39">
        <f t="shared" si="11"/>
        <v>58960</v>
      </c>
      <c r="H123" s="222">
        <f t="shared" si="12"/>
        <v>-9.803256445047491E-2</v>
      </c>
      <c r="I123" s="39"/>
      <c r="J123" s="39"/>
      <c r="K123" s="39">
        <v>-4653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si="10"/>
        <v>-13344.599999999999</v>
      </c>
      <c r="G124" s="39">
        <f t="shared" si="11"/>
        <v>66198.600000000006</v>
      </c>
      <c r="H124" s="222">
        <f t="shared" si="12"/>
        <v>-0.20158432353554304</v>
      </c>
      <c r="I124" s="39"/>
      <c r="J124" s="39"/>
      <c r="K124" s="39"/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si="10"/>
        <v>-13365</v>
      </c>
      <c r="G125" s="39">
        <f t="shared" si="11"/>
        <v>70815</v>
      </c>
      <c r="H125" s="222">
        <f t="shared" si="12"/>
        <v>-0.18873120101673374</v>
      </c>
      <c r="I125" s="39"/>
      <c r="J125" s="39"/>
      <c r="K125" s="39"/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si="10"/>
        <v>-13349.999999999998</v>
      </c>
      <c r="G126" s="39">
        <f t="shared" si="11"/>
        <v>82290</v>
      </c>
      <c r="H126" s="222">
        <f t="shared" si="12"/>
        <v>-0.16223113379511481</v>
      </c>
      <c r="I126" s="39"/>
      <c r="J126" s="39"/>
      <c r="K126" s="39">
        <v>-11202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si="10"/>
        <v>-10050.000000000004</v>
      </c>
      <c r="G127" s="39">
        <f t="shared" si="11"/>
        <v>82290</v>
      </c>
      <c r="H127" s="222">
        <f t="shared" si="12"/>
        <v>-0.12212905577834493</v>
      </c>
      <c r="I127" s="39"/>
      <c r="J127" s="39"/>
      <c r="K127" s="39">
        <v>-8302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si="10"/>
        <v>-11618.999999999993</v>
      </c>
      <c r="G128" s="39">
        <f t="shared" si="11"/>
        <v>81459</v>
      </c>
      <c r="H128" s="222">
        <f t="shared" si="12"/>
        <v>-0.1426361727985857</v>
      </c>
      <c r="I128" s="39">
        <v>27</v>
      </c>
      <c r="J128" s="39"/>
      <c r="K128" s="39">
        <v>-9873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si="10"/>
        <v>-9646</v>
      </c>
      <c r="G129" s="39">
        <f t="shared" si="11"/>
        <v>76678</v>
      </c>
      <c r="H129" s="222">
        <f t="shared" si="12"/>
        <v>-0.12579879496074495</v>
      </c>
      <c r="I129" s="39"/>
      <c r="J129" s="39"/>
      <c r="K129" s="39">
        <v>-7898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si="10"/>
        <v>-9250.0000000000073</v>
      </c>
      <c r="G130" s="39">
        <f t="shared" si="11"/>
        <v>69450</v>
      </c>
      <c r="H130" s="222">
        <f t="shared" si="12"/>
        <v>-0.13318934485241191</v>
      </c>
      <c r="I130" s="39"/>
      <c r="J130" s="39"/>
      <c r="K130" s="39">
        <v>-7507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si="10"/>
        <v>-10025.000000000004</v>
      </c>
      <c r="G131" s="39">
        <f t="shared" si="11"/>
        <v>69450</v>
      </c>
      <c r="H131" s="222">
        <f t="shared" si="12"/>
        <v>-0.14434845212383016</v>
      </c>
      <c r="I131" s="39"/>
      <c r="J131" s="39">
        <v>42</v>
      </c>
      <c r="K131" s="39">
        <v>-8282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si="10"/>
        <v>-7954.0000000000009</v>
      </c>
      <c r="G132" s="39">
        <f t="shared" si="11"/>
        <v>57114</v>
      </c>
      <c r="H132" s="222">
        <f t="shared" si="12"/>
        <v>-0.13926532899114055</v>
      </c>
      <c r="I132" s="39"/>
      <c r="J132" s="39"/>
      <c r="K132" s="39">
        <v>-6207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si="10"/>
        <v>-8754.9999999999964</v>
      </c>
      <c r="G133" s="39">
        <f t="shared" si="11"/>
        <v>69205</v>
      </c>
      <c r="H133" s="222">
        <f t="shared" si="12"/>
        <v>-0.12650820027454659</v>
      </c>
      <c r="I133" s="39"/>
      <c r="J133" s="39"/>
      <c r="K133" s="39">
        <v>-7007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si="10"/>
        <v>-7005.2000000000025</v>
      </c>
      <c r="G134" s="39">
        <f t="shared" si="11"/>
        <v>56765.2</v>
      </c>
      <c r="H134" s="222">
        <f t="shared" si="12"/>
        <v>-0.12340659418094188</v>
      </c>
      <c r="I134" s="39"/>
      <c r="J134" s="39"/>
      <c r="K134" s="39">
        <v>-5257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:F157" si="13">C135*(E135-D135)</f>
        <v>-8205</v>
      </c>
      <c r="G135" s="39">
        <f t="shared" ref="G135:G157" si="14">D135*C135</f>
        <v>68905</v>
      </c>
      <c r="H135" s="222">
        <f t="shared" ref="H135:H157" si="15">(E135-D135)/D135</f>
        <v>-0.11907699005877657</v>
      </c>
      <c r="I135" s="39">
        <v>27</v>
      </c>
      <c r="J135" s="39"/>
      <c r="K135" s="39">
        <v>-6457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si="13"/>
        <v>-6930.0000000000045</v>
      </c>
      <c r="G136" s="39">
        <f t="shared" si="14"/>
        <v>61468</v>
      </c>
      <c r="H136" s="222">
        <f t="shared" si="15"/>
        <v>-0.11274158911954195</v>
      </c>
      <c r="I136" s="39"/>
      <c r="J136" s="39"/>
      <c r="K136" s="39">
        <v>-5182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si="13"/>
        <v>-5678</v>
      </c>
      <c r="G137" s="39">
        <f t="shared" si="14"/>
        <v>48824</v>
      </c>
      <c r="H137" s="222">
        <f t="shared" si="15"/>
        <v>-0.11629526462395544</v>
      </c>
      <c r="I137" s="39"/>
      <c r="J137" s="39"/>
      <c r="K137" s="39">
        <v>-3934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si="13"/>
        <v>-5867.9999999999982</v>
      </c>
      <c r="G138" s="39">
        <f t="shared" si="14"/>
        <v>43653</v>
      </c>
      <c r="H138" s="222">
        <f t="shared" si="15"/>
        <v>-0.13442375094495221</v>
      </c>
      <c r="I138" s="39"/>
      <c r="J138" s="39"/>
      <c r="K138" s="39"/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si="13"/>
        <v>-5909.1999999999989</v>
      </c>
      <c r="G139" s="39">
        <f t="shared" si="14"/>
        <v>48732.2</v>
      </c>
      <c r="H139" s="222">
        <f t="shared" si="15"/>
        <v>-0.12125863392171908</v>
      </c>
      <c r="I139" s="39"/>
      <c r="J139" s="39"/>
      <c r="K139" s="39">
        <v>-4162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si="13"/>
        <v>-6607.9999999999973</v>
      </c>
      <c r="G140" s="39">
        <f t="shared" si="14"/>
        <v>56128</v>
      </c>
      <c r="H140" s="222">
        <f t="shared" si="15"/>
        <v>-0.11773090079817554</v>
      </c>
      <c r="I140" s="39"/>
      <c r="J140" s="39"/>
      <c r="K140" s="39">
        <v>-4860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si="13"/>
        <v>-7839.9999999999964</v>
      </c>
      <c r="G141" s="39">
        <f t="shared" si="14"/>
        <v>56120</v>
      </c>
      <c r="H141" s="222">
        <f t="shared" si="15"/>
        <v>-0.13970064148253736</v>
      </c>
      <c r="I141" s="39"/>
      <c r="J141" s="39">
        <v>44.98</v>
      </c>
      <c r="K141" s="39">
        <v>-6100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si="13"/>
        <v>-6979.9999999999973</v>
      </c>
      <c r="G142" s="39">
        <f t="shared" si="14"/>
        <v>56120</v>
      </c>
      <c r="H142" s="222">
        <f t="shared" si="15"/>
        <v>-0.12437633642195291</v>
      </c>
      <c r="I142" s="39"/>
      <c r="J142" s="39">
        <v>51.33</v>
      </c>
      <c r="K142" s="39">
        <v>-6100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13"/>
        <v>-5384</v>
      </c>
      <c r="G143" s="39">
        <f t="shared" si="14"/>
        <v>55984</v>
      </c>
      <c r="H143" s="222">
        <f t="shared" si="15"/>
        <v>-9.617033438125179E-2</v>
      </c>
      <c r="I143" s="39"/>
      <c r="J143" s="39"/>
      <c r="K143" s="39">
        <v>-3636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si="13"/>
        <v>-6204.0000000000009</v>
      </c>
      <c r="G144" s="39">
        <f t="shared" si="14"/>
        <v>55984</v>
      </c>
      <c r="H144" s="222">
        <f t="shared" si="15"/>
        <v>-0.11081737639325523</v>
      </c>
      <c r="I144" s="39"/>
      <c r="J144" s="39"/>
      <c r="K144" s="39">
        <v>-4456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si="13"/>
        <v>-6444.0000000000027</v>
      </c>
      <c r="G145" s="39">
        <f t="shared" si="14"/>
        <v>55984</v>
      </c>
      <c r="H145" s="222">
        <f t="shared" si="15"/>
        <v>-0.11510431551871968</v>
      </c>
      <c r="I145" s="39"/>
      <c r="J145" s="39"/>
      <c r="K145" s="39">
        <v>-4696</v>
      </c>
      <c r="L145" s="39">
        <v>12.08</v>
      </c>
    </row>
    <row r="146" spans="1:12" x14ac:dyDescent="0.25">
      <c r="A146">
        <v>1200</v>
      </c>
      <c r="B146" s="184">
        <v>43243</v>
      </c>
      <c r="C146" s="10">
        <v>2200</v>
      </c>
      <c r="D146" s="39">
        <v>27.68</v>
      </c>
      <c r="E146" s="39">
        <v>24.57</v>
      </c>
      <c r="F146" s="39">
        <f t="shared" si="13"/>
        <v>-6841.9999999999991</v>
      </c>
      <c r="G146" s="39">
        <f t="shared" si="14"/>
        <v>60896</v>
      </c>
      <c r="H146" s="222">
        <f t="shared" si="15"/>
        <v>-0.11235549132947975</v>
      </c>
      <c r="I146" s="39"/>
      <c r="J146" s="39"/>
      <c r="K146" s="39">
        <v>-5096</v>
      </c>
      <c r="L146" s="39">
        <v>11.99</v>
      </c>
    </row>
    <row r="147" spans="1:12" x14ac:dyDescent="0.25">
      <c r="A147">
        <v>1700</v>
      </c>
      <c r="B147" s="184">
        <v>43252</v>
      </c>
      <c r="C147" s="10">
        <v>2200</v>
      </c>
      <c r="D147" s="39">
        <v>27.567</v>
      </c>
      <c r="E147" s="39">
        <v>24.42</v>
      </c>
      <c r="F147" s="39">
        <f t="shared" si="13"/>
        <v>-6923.3999999999969</v>
      </c>
      <c r="G147" s="39">
        <f t="shared" si="14"/>
        <v>60647.4</v>
      </c>
      <c r="H147" s="222">
        <f t="shared" si="15"/>
        <v>-0.11415823266949608</v>
      </c>
      <c r="I147" s="39"/>
      <c r="J147" s="39"/>
      <c r="K147" s="39">
        <v>-5176</v>
      </c>
      <c r="L147" s="39">
        <v>11.91</v>
      </c>
    </row>
    <row r="148" spans="1:12" x14ac:dyDescent="0.25">
      <c r="A148">
        <v>1500</v>
      </c>
      <c r="B148" s="184">
        <v>43259</v>
      </c>
      <c r="C148" s="10">
        <v>2000</v>
      </c>
      <c r="D148" s="39">
        <v>27.788</v>
      </c>
      <c r="E148" s="39">
        <v>25.36</v>
      </c>
      <c r="F148" s="39">
        <f t="shared" si="13"/>
        <v>-4856.0000000000018</v>
      </c>
      <c r="G148" s="39">
        <f t="shared" si="14"/>
        <v>55576</v>
      </c>
      <c r="H148" s="222">
        <f t="shared" si="15"/>
        <v>-8.7375845688786549E-2</v>
      </c>
      <c r="I148" s="39"/>
      <c r="J148" s="39"/>
      <c r="K148" s="39">
        <v>-3108</v>
      </c>
      <c r="L148" s="39">
        <v>12.37</v>
      </c>
    </row>
    <row r="149" spans="1:12" x14ac:dyDescent="0.25">
      <c r="A149">
        <v>1000</v>
      </c>
      <c r="B149" s="184">
        <v>43264</v>
      </c>
      <c r="C149" s="465">
        <v>1500</v>
      </c>
      <c r="D149" s="467">
        <v>28.324000000000002</v>
      </c>
      <c r="E149" s="39">
        <v>26.01</v>
      </c>
      <c r="F149" s="39">
        <f t="shared" si="13"/>
        <v>-3471</v>
      </c>
      <c r="G149" s="39">
        <f t="shared" si="14"/>
        <v>42486</v>
      </c>
      <c r="H149" s="222">
        <f t="shared" si="15"/>
        <v>-8.1697500353057478E-2</v>
      </c>
      <c r="I149" s="840" t="s">
        <v>1121</v>
      </c>
      <c r="J149" s="39"/>
      <c r="K149" s="39">
        <v>-1723</v>
      </c>
      <c r="L149" s="39">
        <v>12.69</v>
      </c>
    </row>
    <row r="150" spans="1:12" x14ac:dyDescent="0.25">
      <c r="A150">
        <v>1000</v>
      </c>
      <c r="B150" s="184">
        <v>43266</v>
      </c>
      <c r="C150" s="10">
        <v>1720</v>
      </c>
      <c r="D150" s="39">
        <v>27.998699999999999</v>
      </c>
      <c r="E150" s="39">
        <v>25.88</v>
      </c>
      <c r="F150" s="39">
        <f t="shared" si="13"/>
        <v>-3644.1640000000007</v>
      </c>
      <c r="G150" s="39">
        <f t="shared" si="14"/>
        <v>48157.763999999996</v>
      </c>
      <c r="H150" s="222">
        <f t="shared" si="15"/>
        <v>-7.5671370456485504E-2</v>
      </c>
      <c r="I150" s="39"/>
      <c r="J150" s="39"/>
      <c r="K150" s="39">
        <v>-1896</v>
      </c>
      <c r="L150" s="39">
        <v>12.62</v>
      </c>
    </row>
    <row r="151" spans="1:12" x14ac:dyDescent="0.25">
      <c r="A151">
        <v>1080</v>
      </c>
      <c r="B151" s="184">
        <v>43269</v>
      </c>
      <c r="C151" s="465">
        <v>1500</v>
      </c>
      <c r="D151" s="467">
        <v>28.265499999999999</v>
      </c>
      <c r="E151" s="39">
        <v>26.009899999999998</v>
      </c>
      <c r="F151" s="39">
        <f t="shared" si="13"/>
        <v>-3383.4000000000019</v>
      </c>
      <c r="G151" s="39">
        <f t="shared" si="14"/>
        <v>42398.25</v>
      </c>
      <c r="H151" s="222">
        <f t="shared" si="15"/>
        <v>-7.9800463462525034E-2</v>
      </c>
      <c r="I151" s="39"/>
      <c r="J151" s="39"/>
      <c r="K151" s="39">
        <v>-1635</v>
      </c>
      <c r="L151" s="39">
        <v>12.69</v>
      </c>
    </row>
    <row r="152" spans="1:12" x14ac:dyDescent="0.25">
      <c r="A152">
        <v>780</v>
      </c>
      <c r="B152" s="184">
        <v>43271</v>
      </c>
      <c r="C152" s="465">
        <v>1500</v>
      </c>
      <c r="D152" s="467">
        <v>28.0626</v>
      </c>
      <c r="E152" s="39">
        <v>28.73</v>
      </c>
      <c r="F152" s="39">
        <f t="shared" si="13"/>
        <v>1001.100000000001</v>
      </c>
      <c r="G152" s="39">
        <f t="shared" si="14"/>
        <v>42093.9</v>
      </c>
      <c r="H152" s="222">
        <f t="shared" si="15"/>
        <v>2.3782543313876855E-2</v>
      </c>
      <c r="I152" s="39"/>
      <c r="J152" s="39"/>
      <c r="K152" s="39">
        <v>2744</v>
      </c>
      <c r="L152" s="39">
        <v>14.01</v>
      </c>
    </row>
    <row r="153" spans="1:12" x14ac:dyDescent="0.25">
      <c r="A153">
        <v>-220</v>
      </c>
      <c r="B153" s="184">
        <v>43273</v>
      </c>
      <c r="C153" s="465">
        <v>1500</v>
      </c>
      <c r="D153" s="467">
        <v>27.71583</v>
      </c>
      <c r="E153" s="39">
        <v>29.69</v>
      </c>
      <c r="F153" s="39">
        <f t="shared" si="13"/>
        <v>2961.2550000000015</v>
      </c>
      <c r="G153" s="39">
        <f t="shared" si="14"/>
        <v>41573.745000000003</v>
      </c>
      <c r="H153" s="222">
        <f t="shared" si="15"/>
        <v>7.1228969148677879E-2</v>
      </c>
      <c r="I153" s="39"/>
      <c r="J153" s="39"/>
      <c r="K153" s="39">
        <v>4709</v>
      </c>
      <c r="L153" s="39">
        <v>14.48</v>
      </c>
    </row>
    <row r="154" spans="1:12" x14ac:dyDescent="0.25">
      <c r="A154">
        <v>0</v>
      </c>
      <c r="B154" s="184">
        <v>43278</v>
      </c>
      <c r="C154" s="10">
        <v>1500</v>
      </c>
      <c r="D154" s="39">
        <v>27.72</v>
      </c>
      <c r="E154" s="39">
        <v>29.01</v>
      </c>
      <c r="F154" s="39">
        <f t="shared" si="13"/>
        <v>1935.0000000000041</v>
      </c>
      <c r="G154" s="39">
        <f t="shared" si="14"/>
        <v>41580</v>
      </c>
      <c r="H154" s="222">
        <f t="shared" si="15"/>
        <v>4.6536796536796633E-2</v>
      </c>
      <c r="I154" s="39"/>
      <c r="J154" s="39"/>
      <c r="K154" s="39">
        <v>3689</v>
      </c>
      <c r="L154" s="39">
        <v>14.15</v>
      </c>
    </row>
    <row r="155" spans="1:12" x14ac:dyDescent="0.25">
      <c r="A155">
        <v>0</v>
      </c>
      <c r="B155" s="184">
        <v>43285</v>
      </c>
      <c r="C155" s="10">
        <v>1500</v>
      </c>
      <c r="D155" s="39">
        <v>27.72</v>
      </c>
      <c r="E155" s="39">
        <v>28.7</v>
      </c>
      <c r="F155" s="39">
        <f t="shared" si="13"/>
        <v>1470.0000000000007</v>
      </c>
      <c r="G155" s="39">
        <f t="shared" si="14"/>
        <v>41580</v>
      </c>
      <c r="H155" s="222">
        <f t="shared" si="15"/>
        <v>3.5353535353535373E-2</v>
      </c>
      <c r="I155" s="39"/>
      <c r="J155" s="39"/>
      <c r="K155" s="39">
        <v>3224</v>
      </c>
      <c r="L155" s="39">
        <v>13.88</v>
      </c>
    </row>
    <row r="156" spans="1:12" x14ac:dyDescent="0.25">
      <c r="A156">
        <v>0</v>
      </c>
      <c r="B156" s="184">
        <v>43288</v>
      </c>
      <c r="C156" s="10">
        <v>1500</v>
      </c>
      <c r="D156" s="39">
        <v>27.72</v>
      </c>
      <c r="E156" s="39">
        <v>29.1</v>
      </c>
      <c r="F156" s="39">
        <f t="shared" si="13"/>
        <v>2070.0000000000036</v>
      </c>
      <c r="G156" s="39">
        <f t="shared" si="14"/>
        <v>41580</v>
      </c>
      <c r="H156" s="222">
        <f t="shared" si="15"/>
        <v>4.9783549783549881E-2</v>
      </c>
      <c r="I156" s="39"/>
      <c r="J156" s="39"/>
      <c r="K156" s="39">
        <v>3854</v>
      </c>
      <c r="L156" s="39">
        <v>14.03</v>
      </c>
    </row>
    <row r="157" spans="1:12" x14ac:dyDescent="0.25">
      <c r="A157">
        <v>200</v>
      </c>
      <c r="B157" s="184">
        <v>43296</v>
      </c>
      <c r="C157" s="10">
        <v>1500</v>
      </c>
      <c r="D157" s="39">
        <v>27.72</v>
      </c>
      <c r="E157" s="39">
        <v>28.05</v>
      </c>
      <c r="F157" s="39">
        <f t="shared" si="13"/>
        <v>495.00000000000279</v>
      </c>
      <c r="G157" s="39">
        <f t="shared" si="14"/>
        <v>41580</v>
      </c>
      <c r="H157" s="222">
        <f t="shared" si="15"/>
        <v>1.1904761904761972E-2</v>
      </c>
      <c r="I157" s="39"/>
      <c r="J157" s="39"/>
      <c r="K157" s="39">
        <v>2249</v>
      </c>
      <c r="L157" s="39">
        <v>13.52</v>
      </c>
    </row>
    <row r="158" spans="1:12" x14ac:dyDescent="0.25">
      <c r="B158" s="10"/>
      <c r="C158" s="10"/>
      <c r="D158" s="39"/>
      <c r="E158" s="39"/>
      <c r="F158" s="39"/>
      <c r="G158" s="39"/>
      <c r="H158" s="222"/>
      <c r="I158" s="39"/>
      <c r="J158" s="39"/>
      <c r="K158" s="39"/>
      <c r="L158" s="39"/>
    </row>
    <row r="159" spans="1:12" x14ac:dyDescent="0.25">
      <c r="B159" s="10"/>
      <c r="C159" s="10"/>
      <c r="D159" s="39"/>
      <c r="E159" s="39"/>
      <c r="F159" s="39"/>
      <c r="G159" s="39"/>
      <c r="H159" s="222"/>
      <c r="I159" s="39"/>
      <c r="J159" s="39"/>
      <c r="K159" s="39"/>
      <c r="L159" s="39"/>
    </row>
    <row r="160" spans="1:12" x14ac:dyDescent="0.25">
      <c r="B160" s="10"/>
      <c r="C160" s="10"/>
      <c r="D160" s="39"/>
      <c r="E160" s="39"/>
      <c r="F160" s="39"/>
      <c r="G160" s="39"/>
      <c r="H160" s="222"/>
      <c r="I160" s="39"/>
      <c r="J160" s="39"/>
      <c r="K160" s="39"/>
      <c r="L160" s="39"/>
    </row>
    <row r="161" spans="2:12" x14ac:dyDescent="0.25">
      <c r="B161" s="10"/>
      <c r="C161" s="10"/>
      <c r="D161" s="39"/>
      <c r="E161" s="39"/>
      <c r="F161" s="39"/>
      <c r="G161" s="39"/>
      <c r="H161" s="222"/>
      <c r="I161" s="39"/>
      <c r="J161" s="39"/>
      <c r="K161" s="39"/>
      <c r="L161" s="39"/>
    </row>
    <row r="162" spans="2:12" x14ac:dyDescent="0.25">
      <c r="B162" s="10"/>
      <c r="C162" s="10"/>
      <c r="D162" s="39"/>
      <c r="E162" s="39"/>
      <c r="F162" s="39"/>
      <c r="G162" s="39"/>
      <c r="H162" s="222"/>
      <c r="I162" s="39"/>
      <c r="J162" s="39"/>
      <c r="K162" s="39"/>
      <c r="L162" s="39"/>
    </row>
    <row r="163" spans="2:12" x14ac:dyDescent="0.25">
      <c r="B163" s="10"/>
      <c r="C163" s="10"/>
      <c r="D163" s="39"/>
      <c r="E163" s="39"/>
      <c r="F163" s="39"/>
      <c r="G163" s="39"/>
      <c r="H163" s="222"/>
      <c r="I163" s="39"/>
      <c r="J163" s="39"/>
      <c r="K163" s="39"/>
      <c r="L163" s="39"/>
    </row>
    <row r="164" spans="2:12" x14ac:dyDescent="0.25">
      <c r="B164" s="10"/>
      <c r="C164" s="10"/>
      <c r="D164" s="39"/>
      <c r="E164" s="39"/>
      <c r="F164" s="39"/>
      <c r="G164" s="39"/>
      <c r="H164" s="222"/>
      <c r="I164" s="39"/>
      <c r="J164" s="39"/>
      <c r="K164" s="39"/>
      <c r="L164" s="39"/>
    </row>
    <row r="165" spans="2:12" x14ac:dyDescent="0.25">
      <c r="B165" s="10"/>
      <c r="C165" s="10"/>
      <c r="D165" s="39"/>
      <c r="E165" s="39"/>
      <c r="F165" s="39"/>
      <c r="G165" s="39"/>
      <c r="H165" s="222"/>
      <c r="I165" s="39"/>
      <c r="J165" s="39"/>
      <c r="K165" s="39"/>
      <c r="L165" s="39"/>
    </row>
    <row r="166" spans="2:12" x14ac:dyDescent="0.25">
      <c r="B166" s="10"/>
      <c r="C166" s="10"/>
      <c r="D166" s="39"/>
      <c r="E166" s="39"/>
      <c r="F166" s="39"/>
      <c r="G166" s="39"/>
      <c r="H166" s="222"/>
      <c r="I166" s="39"/>
      <c r="J166" s="39"/>
      <c r="K166" s="39"/>
      <c r="L166" s="39"/>
    </row>
    <row r="167" spans="2:12" x14ac:dyDescent="0.25">
      <c r="B167" s="10"/>
      <c r="C167" s="10"/>
      <c r="D167" s="39"/>
      <c r="E167" s="39"/>
      <c r="F167" s="39"/>
      <c r="G167" s="39"/>
      <c r="H167" s="222"/>
      <c r="I167" s="39"/>
      <c r="J167" s="39"/>
      <c r="K167" s="39"/>
      <c r="L167" s="39"/>
    </row>
    <row r="169" spans="2:12" x14ac:dyDescent="0.25">
      <c r="B169" s="361">
        <v>42484</v>
      </c>
      <c r="C169" s="362">
        <v>100</v>
      </c>
      <c r="D169" s="363">
        <v>35.917999999999999</v>
      </c>
      <c r="E169" s="363">
        <v>35.58</v>
      </c>
      <c r="F169" s="363">
        <f t="shared" ref="F169:F182" si="16">C169*(E169-D169)</f>
        <v>-33.800000000000097</v>
      </c>
      <c r="G169" s="363">
        <f t="shared" ref="G169:G182" si="17">D169*C169</f>
        <v>3591.7999999999997</v>
      </c>
      <c r="H169" s="364">
        <f t="shared" ref="H169:H182" si="18">(E169-D169)/D169</f>
        <v>-9.410323514672336E-3</v>
      </c>
      <c r="I169" s="363"/>
    </row>
    <row r="170" spans="2:12" x14ac:dyDescent="0.25">
      <c r="B170" s="361">
        <v>42485</v>
      </c>
      <c r="C170" s="362">
        <v>100</v>
      </c>
      <c r="D170" s="363">
        <v>35.917999999999999</v>
      </c>
      <c r="E170" s="363">
        <v>36.770000000000003</v>
      </c>
      <c r="F170" s="363">
        <f t="shared" si="16"/>
        <v>85.200000000000387</v>
      </c>
      <c r="G170" s="363">
        <f t="shared" si="17"/>
        <v>3591.7999999999997</v>
      </c>
      <c r="H170" s="364">
        <f t="shared" si="18"/>
        <v>2.3720697143493622E-2</v>
      </c>
      <c r="I170" s="363"/>
    </row>
    <row r="171" spans="2:12" x14ac:dyDescent="0.25">
      <c r="B171" s="361">
        <v>42498</v>
      </c>
      <c r="C171" s="362">
        <v>100</v>
      </c>
      <c r="D171" s="363">
        <v>35.917999999999999</v>
      </c>
      <c r="E171" s="363">
        <v>34.549999999999997</v>
      </c>
      <c r="F171" s="363">
        <f t="shared" si="16"/>
        <v>-136.80000000000021</v>
      </c>
      <c r="G171" s="363">
        <f t="shared" si="17"/>
        <v>3591.7999999999997</v>
      </c>
      <c r="H171" s="364">
        <f t="shared" si="18"/>
        <v>-3.8086753159975562E-2</v>
      </c>
      <c r="I171" s="363"/>
    </row>
    <row r="172" spans="2:12" x14ac:dyDescent="0.25">
      <c r="B172" s="361">
        <v>42508</v>
      </c>
      <c r="C172" s="362">
        <v>140</v>
      </c>
      <c r="D172" s="363">
        <v>35.423999999999999</v>
      </c>
      <c r="E172" s="363">
        <v>34.369999999999997</v>
      </c>
      <c r="F172" s="363">
        <f t="shared" si="16"/>
        <v>-147.56000000000029</v>
      </c>
      <c r="G172" s="363">
        <f t="shared" si="17"/>
        <v>4959.3599999999997</v>
      </c>
      <c r="H172" s="364">
        <f t="shared" si="18"/>
        <v>-2.9753839205058776E-2</v>
      </c>
      <c r="I172" s="363"/>
    </row>
    <row r="173" spans="2:12" x14ac:dyDescent="0.25">
      <c r="B173" s="361">
        <v>42509</v>
      </c>
      <c r="C173" s="362">
        <v>240</v>
      </c>
      <c r="D173" s="363">
        <v>35.034999999999997</v>
      </c>
      <c r="E173" s="363">
        <v>34.83</v>
      </c>
      <c r="F173" s="363">
        <f t="shared" si="16"/>
        <v>-49.199999999999591</v>
      </c>
      <c r="G173" s="363">
        <f t="shared" si="17"/>
        <v>8408.4</v>
      </c>
      <c r="H173" s="364">
        <f t="shared" si="18"/>
        <v>-5.8512915655772315E-3</v>
      </c>
      <c r="I173" s="363"/>
    </row>
    <row r="174" spans="2:12" x14ac:dyDescent="0.25">
      <c r="B174" s="361">
        <v>42514</v>
      </c>
      <c r="C174" s="362">
        <v>200</v>
      </c>
      <c r="D174" s="363">
        <v>34.972000000000001</v>
      </c>
      <c r="E174" s="363">
        <v>35.520000000000003</v>
      </c>
      <c r="F174" s="363">
        <f t="shared" si="16"/>
        <v>109.60000000000036</v>
      </c>
      <c r="G174" s="363">
        <f t="shared" si="17"/>
        <v>6994.4000000000005</v>
      </c>
      <c r="H174" s="364">
        <f t="shared" si="18"/>
        <v>1.5669678600022927E-2</v>
      </c>
      <c r="I174" s="363"/>
    </row>
    <row r="175" spans="2:12" x14ac:dyDescent="0.25">
      <c r="B175" s="361">
        <v>42515</v>
      </c>
      <c r="C175" s="362">
        <v>200</v>
      </c>
      <c r="D175" s="363">
        <v>34.972000000000001</v>
      </c>
      <c r="E175" s="363">
        <v>34.94</v>
      </c>
      <c r="F175" s="363">
        <f t="shared" si="16"/>
        <v>-6.4000000000007162</v>
      </c>
      <c r="G175" s="363">
        <f t="shared" si="17"/>
        <v>6994.4000000000005</v>
      </c>
      <c r="H175" s="364">
        <f t="shared" si="18"/>
        <v>-9.150177284685914E-4</v>
      </c>
      <c r="I175" s="363"/>
    </row>
    <row r="176" spans="2:12" x14ac:dyDescent="0.25">
      <c r="B176" s="361">
        <v>42521</v>
      </c>
      <c r="C176" s="362">
        <v>160</v>
      </c>
      <c r="D176" s="363">
        <v>34.718000000000004</v>
      </c>
      <c r="E176" s="363">
        <v>35.76</v>
      </c>
      <c r="F176" s="363">
        <f t="shared" si="16"/>
        <v>166.71999999999912</v>
      </c>
      <c r="G176" s="363">
        <f t="shared" si="17"/>
        <v>5554.880000000001</v>
      </c>
      <c r="H176" s="364">
        <f t="shared" si="18"/>
        <v>3.0013249611152554E-2</v>
      </c>
      <c r="I176" s="363"/>
    </row>
    <row r="177" spans="2:9" x14ac:dyDescent="0.25">
      <c r="B177" s="361">
        <v>42527</v>
      </c>
      <c r="C177" s="362">
        <v>160</v>
      </c>
      <c r="D177" s="363">
        <v>34.652000000000001</v>
      </c>
      <c r="E177" s="363">
        <v>36.020000000000003</v>
      </c>
      <c r="F177" s="363">
        <f t="shared" si="16"/>
        <v>218.88000000000034</v>
      </c>
      <c r="G177" s="363">
        <f t="shared" si="17"/>
        <v>5544.32</v>
      </c>
      <c r="H177" s="364">
        <f t="shared" si="18"/>
        <v>3.9478240794182211E-2</v>
      </c>
      <c r="I177" s="363"/>
    </row>
    <row r="178" spans="2:9" x14ac:dyDescent="0.25">
      <c r="B178" s="361">
        <v>42498</v>
      </c>
      <c r="C178" s="362">
        <v>160</v>
      </c>
      <c r="D178" s="363">
        <v>34.652000000000001</v>
      </c>
      <c r="E178" s="363">
        <v>36.520000000000003</v>
      </c>
      <c r="F178" s="363">
        <f t="shared" si="16"/>
        <v>298.88000000000034</v>
      </c>
      <c r="G178" s="363">
        <f t="shared" si="17"/>
        <v>5544.32</v>
      </c>
      <c r="H178" s="364">
        <f t="shared" si="18"/>
        <v>5.3907422371003176E-2</v>
      </c>
      <c r="I178" s="363"/>
    </row>
    <row r="179" spans="2:9" x14ac:dyDescent="0.25">
      <c r="B179" s="361">
        <v>42531</v>
      </c>
      <c r="C179" s="362">
        <v>60</v>
      </c>
      <c r="D179" s="363">
        <v>30.757000000000001</v>
      </c>
      <c r="E179" s="363">
        <v>36.81</v>
      </c>
      <c r="F179" s="363">
        <f t="shared" si="16"/>
        <v>363.18000000000006</v>
      </c>
      <c r="G179" s="363">
        <f t="shared" si="17"/>
        <v>1845.42</v>
      </c>
      <c r="H179" s="364">
        <f t="shared" si="18"/>
        <v>0.1968007282894951</v>
      </c>
      <c r="I179" s="363"/>
    </row>
    <row r="180" spans="2:9" x14ac:dyDescent="0.25">
      <c r="B180" s="361">
        <v>42536</v>
      </c>
      <c r="C180" s="362">
        <v>160</v>
      </c>
      <c r="D180" s="363">
        <v>33.652999999999999</v>
      </c>
      <c r="E180" s="363">
        <v>35.71</v>
      </c>
      <c r="F180" s="363">
        <f t="shared" si="16"/>
        <v>329.12000000000035</v>
      </c>
      <c r="G180" s="363">
        <f t="shared" si="17"/>
        <v>5384.48</v>
      </c>
      <c r="H180" s="364">
        <f t="shared" si="18"/>
        <v>6.1123822541823976E-2</v>
      </c>
      <c r="I180" s="363"/>
    </row>
    <row r="181" spans="2:9" x14ac:dyDescent="0.25">
      <c r="B181" s="361">
        <v>42542</v>
      </c>
      <c r="C181" s="362">
        <v>160</v>
      </c>
      <c r="D181" s="363">
        <v>33.65</v>
      </c>
      <c r="E181" s="363">
        <v>34.71</v>
      </c>
      <c r="F181" s="363">
        <f t="shared" si="16"/>
        <v>169.60000000000036</v>
      </c>
      <c r="G181" s="363">
        <f t="shared" si="17"/>
        <v>5384</v>
      </c>
      <c r="H181" s="364">
        <f t="shared" si="18"/>
        <v>3.1500742942050589E-2</v>
      </c>
      <c r="I181" s="363"/>
    </row>
    <row r="182" spans="2:9" x14ac:dyDescent="0.25">
      <c r="B182" s="361">
        <v>42548</v>
      </c>
      <c r="C182" s="362">
        <v>160</v>
      </c>
      <c r="D182" s="363">
        <v>33.652999999999999</v>
      </c>
      <c r="E182" s="363">
        <v>36.619999999999997</v>
      </c>
      <c r="F182" s="363">
        <f t="shared" si="16"/>
        <v>474.7199999999998</v>
      </c>
      <c r="G182" s="363">
        <f t="shared" si="17"/>
        <v>5384.48</v>
      </c>
      <c r="H182" s="364">
        <f t="shared" si="18"/>
        <v>8.8164502421775148E-2</v>
      </c>
      <c r="I182" s="363"/>
    </row>
    <row r="183" spans="2:9" x14ac:dyDescent="0.25">
      <c r="B183" s="361">
        <v>42556</v>
      </c>
      <c r="C183" s="362">
        <v>160</v>
      </c>
      <c r="D183" s="363">
        <v>33.652999999999999</v>
      </c>
      <c r="E183" s="363">
        <v>37.33</v>
      </c>
      <c r="F183" s="363">
        <f t="shared" ref="F183:F225" si="19">C183*(E183-D183)</f>
        <v>588.31999999999994</v>
      </c>
      <c r="G183" s="363">
        <f t="shared" ref="G183:G196" si="20">D183*C183</f>
        <v>5384.48</v>
      </c>
      <c r="H183" s="364">
        <f t="shared" ref="H183:H225" si="21">(E183-D183)/D183</f>
        <v>0.10926217573470418</v>
      </c>
      <c r="I183" s="363"/>
    </row>
    <row r="184" spans="2:9" x14ac:dyDescent="0.25">
      <c r="B184" s="361">
        <v>42559</v>
      </c>
      <c r="C184" s="362">
        <v>160</v>
      </c>
      <c r="D184" s="363">
        <v>33.652999999999999</v>
      </c>
      <c r="E184" s="363">
        <v>37.86</v>
      </c>
      <c r="F184" s="363">
        <f t="shared" si="19"/>
        <v>673.12000000000012</v>
      </c>
      <c r="G184" s="363">
        <f t="shared" si="20"/>
        <v>5384.48</v>
      </c>
      <c r="H184" s="364">
        <f t="shared" si="21"/>
        <v>0.12501114313731318</v>
      </c>
      <c r="I184" s="363"/>
    </row>
    <row r="185" spans="2:9" x14ac:dyDescent="0.25">
      <c r="B185" s="361">
        <v>42563</v>
      </c>
      <c r="C185" s="362">
        <v>160</v>
      </c>
      <c r="D185" s="363">
        <v>33.652999999999999</v>
      </c>
      <c r="E185" s="363">
        <v>37.39</v>
      </c>
      <c r="F185" s="363">
        <f t="shared" si="19"/>
        <v>597.9200000000003</v>
      </c>
      <c r="G185" s="363">
        <f t="shared" si="20"/>
        <v>5384.48</v>
      </c>
      <c r="H185" s="364">
        <f t="shared" si="21"/>
        <v>0.11104507770481092</v>
      </c>
      <c r="I185" s="363"/>
    </row>
    <row r="186" spans="2:9" x14ac:dyDescent="0.25">
      <c r="B186" s="361">
        <v>42566</v>
      </c>
      <c r="C186" s="362">
        <v>160</v>
      </c>
      <c r="D186" s="363">
        <v>33.652999999999999</v>
      </c>
      <c r="E186" s="363">
        <v>36.71</v>
      </c>
      <c r="F186" s="363">
        <f t="shared" si="19"/>
        <v>489.12000000000035</v>
      </c>
      <c r="G186" s="363">
        <f t="shared" si="20"/>
        <v>5384.48</v>
      </c>
      <c r="H186" s="364">
        <f t="shared" si="21"/>
        <v>9.0838855376935257E-2</v>
      </c>
      <c r="I186" s="363"/>
    </row>
    <row r="187" spans="2:9" x14ac:dyDescent="0.25">
      <c r="B187" s="361">
        <v>42570</v>
      </c>
      <c r="C187" s="362">
        <v>160</v>
      </c>
      <c r="D187" s="363">
        <v>33.652999999999999</v>
      </c>
      <c r="E187" s="363">
        <v>36.21</v>
      </c>
      <c r="F187" s="363">
        <f t="shared" si="19"/>
        <v>409.12000000000035</v>
      </c>
      <c r="G187" s="363">
        <f t="shared" si="20"/>
        <v>5384.48</v>
      </c>
      <c r="H187" s="364">
        <f t="shared" si="21"/>
        <v>7.5981338959379613E-2</v>
      </c>
      <c r="I187" s="363"/>
    </row>
    <row r="188" spans="2:9" x14ac:dyDescent="0.25">
      <c r="B188" s="361">
        <v>42571</v>
      </c>
      <c r="C188" s="362">
        <v>160</v>
      </c>
      <c r="D188" s="363">
        <v>33.652999999999999</v>
      </c>
      <c r="E188" s="363">
        <v>36.4</v>
      </c>
      <c r="F188" s="363">
        <f t="shared" si="19"/>
        <v>439.52</v>
      </c>
      <c r="G188" s="363">
        <f t="shared" si="20"/>
        <v>5384.48</v>
      </c>
      <c r="H188" s="364">
        <f t="shared" si="21"/>
        <v>8.16271951980507E-2</v>
      </c>
      <c r="I188" s="363"/>
    </row>
    <row r="189" spans="2:9" x14ac:dyDescent="0.25">
      <c r="B189" s="361">
        <v>42572</v>
      </c>
      <c r="C189" s="362">
        <v>160</v>
      </c>
      <c r="D189" s="363">
        <v>33.652999999999999</v>
      </c>
      <c r="E189" s="363">
        <v>35.96</v>
      </c>
      <c r="F189" s="363">
        <f t="shared" si="19"/>
        <v>369.12000000000035</v>
      </c>
      <c r="G189" s="363">
        <f t="shared" si="20"/>
        <v>5384.48</v>
      </c>
      <c r="H189" s="364">
        <f t="shared" si="21"/>
        <v>6.8552580750601791E-2</v>
      </c>
      <c r="I189" s="363"/>
    </row>
    <row r="190" spans="2:9" x14ac:dyDescent="0.25">
      <c r="B190" s="361">
        <v>42576</v>
      </c>
      <c r="C190" s="362">
        <v>160</v>
      </c>
      <c r="D190" s="363">
        <v>33.652999999999999</v>
      </c>
      <c r="E190" s="363">
        <v>35.79</v>
      </c>
      <c r="F190" s="363">
        <f t="shared" si="19"/>
        <v>341.92000000000007</v>
      </c>
      <c r="G190" s="363">
        <f t="shared" si="20"/>
        <v>5384.48</v>
      </c>
      <c r="H190" s="364">
        <f t="shared" si="21"/>
        <v>6.3501025168632833E-2</v>
      </c>
      <c r="I190" s="363"/>
    </row>
    <row r="191" spans="2:9" x14ac:dyDescent="0.25">
      <c r="B191" s="361">
        <v>42577</v>
      </c>
      <c r="C191" s="362">
        <v>160</v>
      </c>
      <c r="D191" s="363">
        <v>33.652999999999999</v>
      </c>
      <c r="E191" s="363">
        <v>36.42</v>
      </c>
      <c r="F191" s="363">
        <f t="shared" si="19"/>
        <v>442.72000000000048</v>
      </c>
      <c r="G191" s="363">
        <f t="shared" si="20"/>
        <v>5384.48</v>
      </c>
      <c r="H191" s="364">
        <f t="shared" si="21"/>
        <v>8.222149585475301E-2</v>
      </c>
      <c r="I191" s="363"/>
    </row>
    <row r="192" spans="2:9" x14ac:dyDescent="0.25">
      <c r="B192" s="361">
        <v>42579</v>
      </c>
      <c r="C192" s="362">
        <v>230</v>
      </c>
      <c r="D192" s="363">
        <v>34.006</v>
      </c>
      <c r="E192" s="363">
        <v>34.4</v>
      </c>
      <c r="F192" s="363">
        <f t="shared" si="19"/>
        <v>90.619999999999621</v>
      </c>
      <c r="G192" s="363">
        <f t="shared" si="20"/>
        <v>7821.38</v>
      </c>
      <c r="H192" s="364">
        <f t="shared" si="21"/>
        <v>1.1586190672234263E-2</v>
      </c>
      <c r="I192" s="363"/>
    </row>
    <row r="193" spans="2:9" x14ac:dyDescent="0.25">
      <c r="B193" s="361">
        <v>42580</v>
      </c>
      <c r="C193" s="362">
        <v>260</v>
      </c>
      <c r="D193" s="363">
        <v>33.991999999999997</v>
      </c>
      <c r="E193" s="363">
        <v>34.19</v>
      </c>
      <c r="F193" s="363">
        <f t="shared" si="19"/>
        <v>51.480000000000103</v>
      </c>
      <c r="G193" s="363">
        <f t="shared" si="20"/>
        <v>8837.92</v>
      </c>
      <c r="H193" s="364">
        <f t="shared" si="21"/>
        <v>5.824899976465063E-3</v>
      </c>
      <c r="I193" s="363"/>
    </row>
    <row r="194" spans="2:9" x14ac:dyDescent="0.25">
      <c r="B194" s="361">
        <v>42584</v>
      </c>
      <c r="C194" s="362">
        <v>300</v>
      </c>
      <c r="D194" s="363">
        <v>33.866</v>
      </c>
      <c r="E194" s="363">
        <v>32.61</v>
      </c>
      <c r="F194" s="363">
        <f t="shared" si="19"/>
        <v>-376.80000000000007</v>
      </c>
      <c r="G194" s="363">
        <f t="shared" si="20"/>
        <v>10159.799999999999</v>
      </c>
      <c r="H194" s="364">
        <f t="shared" si="21"/>
        <v>-3.7087344239059829E-2</v>
      </c>
      <c r="I194" s="363"/>
    </row>
    <row r="195" spans="2:9" x14ac:dyDescent="0.25">
      <c r="B195" s="361">
        <v>42586</v>
      </c>
      <c r="C195" s="362">
        <v>400</v>
      </c>
      <c r="D195" s="363">
        <v>33.520000000000003</v>
      </c>
      <c r="E195" s="363">
        <v>32.549999999999997</v>
      </c>
      <c r="F195" s="363">
        <f t="shared" si="19"/>
        <v>-388.00000000000239</v>
      </c>
      <c r="G195" s="363">
        <f t="shared" si="20"/>
        <v>13408.000000000002</v>
      </c>
      <c r="H195" s="364">
        <f t="shared" si="21"/>
        <v>-2.8937947494033587E-2</v>
      </c>
      <c r="I195" s="363"/>
    </row>
    <row r="196" spans="2:9" x14ac:dyDescent="0.25">
      <c r="B196" s="361">
        <v>42587</v>
      </c>
      <c r="C196" s="362">
        <v>400</v>
      </c>
      <c r="D196" s="363">
        <v>33.387349999999998</v>
      </c>
      <c r="E196" s="363">
        <v>32.729999999999997</v>
      </c>
      <c r="F196" s="363">
        <f t="shared" si="19"/>
        <v>-262.9400000000004</v>
      </c>
      <c r="G196" s="363">
        <f t="shared" si="20"/>
        <v>13354.939999999999</v>
      </c>
      <c r="H196" s="364">
        <f t="shared" si="21"/>
        <v>-1.9688594632398231E-2</v>
      </c>
      <c r="I196" s="363"/>
    </row>
    <row r="197" spans="2:9" x14ac:dyDescent="0.25">
      <c r="B197" s="361">
        <v>42598</v>
      </c>
      <c r="C197" s="362">
        <v>400</v>
      </c>
      <c r="D197" s="363">
        <v>33.387349999999998</v>
      </c>
      <c r="E197" s="363">
        <v>32.1</v>
      </c>
      <c r="F197" s="363">
        <f t="shared" si="19"/>
        <v>-514.93999999999858</v>
      </c>
      <c r="G197" s="363">
        <f t="shared" ref="G197:G202" si="22">D197*C197</f>
        <v>13354.939999999999</v>
      </c>
      <c r="H197" s="364">
        <f t="shared" si="21"/>
        <v>-3.8558016733882636E-2</v>
      </c>
      <c r="I197" s="363"/>
    </row>
    <row r="198" spans="2:9" x14ac:dyDescent="0.25">
      <c r="B198" s="361">
        <v>42599</v>
      </c>
      <c r="C198" s="362">
        <v>500</v>
      </c>
      <c r="D198" s="363">
        <v>33.045879999999997</v>
      </c>
      <c r="E198" s="363">
        <v>31.88</v>
      </c>
      <c r="F198" s="363">
        <f t="shared" si="19"/>
        <v>-582.93999999999892</v>
      </c>
      <c r="G198" s="363">
        <f t="shared" si="22"/>
        <v>16522.939999999999</v>
      </c>
      <c r="H198" s="364">
        <f t="shared" si="21"/>
        <v>-3.5280646180401248E-2</v>
      </c>
      <c r="I198" s="363"/>
    </row>
    <row r="199" spans="2:9" x14ac:dyDescent="0.25">
      <c r="B199" s="361">
        <v>42600</v>
      </c>
      <c r="C199" s="362">
        <v>500</v>
      </c>
      <c r="D199" s="363">
        <v>33.045879999999997</v>
      </c>
      <c r="E199" s="363">
        <v>32.46</v>
      </c>
      <c r="F199" s="363">
        <f t="shared" si="19"/>
        <v>-292.93999999999801</v>
      </c>
      <c r="G199" s="363">
        <f t="shared" si="22"/>
        <v>16522.939999999999</v>
      </c>
      <c r="H199" s="364">
        <f t="shared" si="21"/>
        <v>-1.7729290307899079E-2</v>
      </c>
      <c r="I199" s="363"/>
    </row>
    <row r="200" spans="2:9" x14ac:dyDescent="0.25">
      <c r="B200" s="361">
        <v>42601</v>
      </c>
      <c r="C200" s="362">
        <v>500</v>
      </c>
      <c r="D200" s="363">
        <v>33.045879999999997</v>
      </c>
      <c r="E200" s="363">
        <v>32.61</v>
      </c>
      <c r="F200" s="363">
        <f t="shared" si="19"/>
        <v>-217.93999999999869</v>
      </c>
      <c r="G200" s="363">
        <f t="shared" si="22"/>
        <v>16522.939999999999</v>
      </c>
      <c r="H200" s="364">
        <f t="shared" si="21"/>
        <v>-1.3190146547769266E-2</v>
      </c>
      <c r="I200" s="363"/>
    </row>
    <row r="201" spans="2:9" x14ac:dyDescent="0.25">
      <c r="B201" s="361">
        <v>42604</v>
      </c>
      <c r="C201" s="362">
        <v>500</v>
      </c>
      <c r="D201" s="363">
        <v>33.045879999999997</v>
      </c>
      <c r="E201" s="363">
        <v>32.86</v>
      </c>
      <c r="F201" s="363">
        <f t="shared" si="19"/>
        <v>-92.93999999999869</v>
      </c>
      <c r="G201" s="363">
        <f t="shared" si="22"/>
        <v>16522.939999999999</v>
      </c>
      <c r="H201" s="364">
        <f t="shared" si="21"/>
        <v>-5.624906947552839E-3</v>
      </c>
      <c r="I201" s="363"/>
    </row>
    <row r="202" spans="2:9" x14ac:dyDescent="0.25">
      <c r="B202" s="361">
        <v>42605</v>
      </c>
      <c r="C202" s="362">
        <v>500</v>
      </c>
      <c r="D202" s="363">
        <v>33.045879999999997</v>
      </c>
      <c r="E202" s="363">
        <v>32.25</v>
      </c>
      <c r="F202" s="363">
        <f t="shared" si="19"/>
        <v>-397.93999999999841</v>
      </c>
      <c r="G202" s="363">
        <f t="shared" si="22"/>
        <v>16522.939999999999</v>
      </c>
      <c r="H202" s="364">
        <f t="shared" si="21"/>
        <v>-2.4084091572080902E-2</v>
      </c>
      <c r="I202" s="363"/>
    </row>
    <row r="203" spans="2:9" x14ac:dyDescent="0.25">
      <c r="B203" s="361">
        <v>42606</v>
      </c>
      <c r="C203" s="362">
        <v>500</v>
      </c>
      <c r="D203" s="363">
        <v>33.045879999999997</v>
      </c>
      <c r="E203" s="363">
        <v>32.99</v>
      </c>
      <c r="F203" s="363">
        <f t="shared" si="19"/>
        <v>-27.939999999997411</v>
      </c>
      <c r="G203" s="363">
        <f t="shared" ref="G203:G225" si="23">D203*C203</f>
        <v>16522.939999999999</v>
      </c>
      <c r="H203" s="364">
        <f t="shared" si="21"/>
        <v>-1.6909823554402191E-3</v>
      </c>
      <c r="I203" s="363"/>
    </row>
    <row r="204" spans="2:9" x14ac:dyDescent="0.25">
      <c r="B204" s="361">
        <v>42607</v>
      </c>
      <c r="C204" s="362">
        <v>500</v>
      </c>
      <c r="D204" s="363">
        <v>33.045879999999997</v>
      </c>
      <c r="E204" s="363">
        <v>32.76</v>
      </c>
      <c r="F204" s="363">
        <f t="shared" si="19"/>
        <v>-142.9399999999994</v>
      </c>
      <c r="G204" s="363">
        <f t="shared" si="23"/>
        <v>16522.939999999999</v>
      </c>
      <c r="H204" s="364">
        <f t="shared" si="21"/>
        <v>-8.6510027876394533E-3</v>
      </c>
      <c r="I204" s="363"/>
    </row>
    <row r="205" spans="2:9" x14ac:dyDescent="0.25">
      <c r="B205" s="361">
        <v>42611</v>
      </c>
      <c r="C205" s="362">
        <v>500</v>
      </c>
      <c r="D205" s="363">
        <v>33.045879999999997</v>
      </c>
      <c r="E205" s="363">
        <v>32.33</v>
      </c>
      <c r="F205" s="363">
        <f t="shared" si="19"/>
        <v>-357.93999999999926</v>
      </c>
      <c r="G205" s="363">
        <f t="shared" si="23"/>
        <v>16522.939999999999</v>
      </c>
      <c r="H205" s="364">
        <f t="shared" si="21"/>
        <v>-2.1663214900011697E-2</v>
      </c>
      <c r="I205" s="363"/>
    </row>
    <row r="206" spans="2:9" x14ac:dyDescent="0.25">
      <c r="B206" s="361">
        <v>42612</v>
      </c>
      <c r="C206" s="362">
        <v>500</v>
      </c>
      <c r="D206" s="363">
        <v>33.045879999999997</v>
      </c>
      <c r="E206" s="363">
        <v>32.159999999999997</v>
      </c>
      <c r="F206" s="363">
        <f t="shared" si="19"/>
        <v>-442.94000000000011</v>
      </c>
      <c r="G206" s="363">
        <f t="shared" si="23"/>
        <v>16522.939999999999</v>
      </c>
      <c r="H206" s="364">
        <f t="shared" si="21"/>
        <v>-2.6807577828158919E-2</v>
      </c>
      <c r="I206" s="363"/>
    </row>
    <row r="207" spans="2:9" x14ac:dyDescent="0.25">
      <c r="B207" s="361">
        <v>42614</v>
      </c>
      <c r="C207" s="362">
        <v>500</v>
      </c>
      <c r="D207" s="363">
        <v>33.045879999999997</v>
      </c>
      <c r="E207" s="363">
        <v>31.96</v>
      </c>
      <c r="F207" s="363">
        <f t="shared" si="19"/>
        <v>-542.93999999999801</v>
      </c>
      <c r="G207" s="363">
        <f t="shared" si="23"/>
        <v>16522.939999999999</v>
      </c>
      <c r="H207" s="364">
        <f t="shared" si="21"/>
        <v>-3.2859769508331936E-2</v>
      </c>
      <c r="I207" s="363"/>
    </row>
    <row r="208" spans="2:9" x14ac:dyDescent="0.25">
      <c r="B208" s="361">
        <v>42615</v>
      </c>
      <c r="C208" s="362">
        <v>500</v>
      </c>
      <c r="D208" s="363">
        <v>32.94988</v>
      </c>
      <c r="E208" s="363">
        <v>32.5</v>
      </c>
      <c r="F208" s="363">
        <f t="shared" si="19"/>
        <v>-224.94000000000014</v>
      </c>
      <c r="G208" s="363">
        <f t="shared" si="23"/>
        <v>16474.939999999999</v>
      </c>
      <c r="H208" s="364">
        <f t="shared" si="21"/>
        <v>-1.3653463988336233E-2</v>
      </c>
      <c r="I208" s="363" t="s">
        <v>185</v>
      </c>
    </row>
    <row r="209" spans="2:9" x14ac:dyDescent="0.25">
      <c r="B209" s="361">
        <v>42619</v>
      </c>
      <c r="C209" s="362">
        <v>500</v>
      </c>
      <c r="D209" s="363">
        <v>32.94988</v>
      </c>
      <c r="E209" s="363">
        <v>32.67</v>
      </c>
      <c r="F209" s="363">
        <f t="shared" si="19"/>
        <v>-139.93999999999929</v>
      </c>
      <c r="G209" s="363">
        <f t="shared" si="23"/>
        <v>16474.939999999999</v>
      </c>
      <c r="H209" s="364">
        <f t="shared" si="21"/>
        <v>-8.4941128768905548E-3</v>
      </c>
      <c r="I209" s="363"/>
    </row>
    <row r="210" spans="2:9" x14ac:dyDescent="0.25">
      <c r="B210" s="361">
        <v>42620</v>
      </c>
      <c r="C210" s="362">
        <v>600</v>
      </c>
      <c r="D210" s="363">
        <v>32.733229999999999</v>
      </c>
      <c r="E210" s="363">
        <v>31.32</v>
      </c>
      <c r="F210" s="363">
        <f t="shared" si="19"/>
        <v>-847.93799999999919</v>
      </c>
      <c r="G210" s="363">
        <f t="shared" si="23"/>
        <v>19639.937999999998</v>
      </c>
      <c r="H210" s="364">
        <f t="shared" si="21"/>
        <v>-4.3174168879759153E-2</v>
      </c>
      <c r="I210" s="363"/>
    </row>
    <row r="211" spans="2:9" x14ac:dyDescent="0.25">
      <c r="B211" s="361">
        <v>42620</v>
      </c>
      <c r="C211" s="362">
        <v>700</v>
      </c>
      <c r="D211" s="363">
        <v>32.511339999999997</v>
      </c>
      <c r="E211" s="363">
        <v>31.32</v>
      </c>
      <c r="F211" s="363">
        <f t="shared" si="19"/>
        <v>-833.93799999999771</v>
      </c>
      <c r="G211" s="363">
        <f t="shared" si="23"/>
        <v>22757.937999999998</v>
      </c>
      <c r="H211" s="364">
        <f t="shared" si="21"/>
        <v>-3.6643829506873504E-2</v>
      </c>
      <c r="I211" s="363"/>
    </row>
    <row r="212" spans="2:9" x14ac:dyDescent="0.25">
      <c r="B212" s="361">
        <v>42621</v>
      </c>
      <c r="C212" s="362">
        <v>700</v>
      </c>
      <c r="D212" s="363">
        <v>32.511339999999997</v>
      </c>
      <c r="E212" s="363">
        <v>31.31</v>
      </c>
      <c r="F212" s="363">
        <f t="shared" si="19"/>
        <v>-840.93799999999885</v>
      </c>
      <c r="G212" s="363">
        <f t="shared" si="23"/>
        <v>22757.937999999998</v>
      </c>
      <c r="H212" s="364">
        <f t="shared" si="21"/>
        <v>-3.6951414491066759E-2</v>
      </c>
      <c r="I212" s="363"/>
    </row>
    <row r="213" spans="2:9" x14ac:dyDescent="0.25">
      <c r="B213" s="361">
        <v>42622</v>
      </c>
      <c r="C213" s="362">
        <v>700</v>
      </c>
      <c r="D213" s="363">
        <v>32.511339999999997</v>
      </c>
      <c r="E213" s="363">
        <v>31.51</v>
      </c>
      <c r="F213" s="363">
        <f t="shared" si="19"/>
        <v>-700.9379999999968</v>
      </c>
      <c r="G213" s="363">
        <f t="shared" si="23"/>
        <v>22757.937999999998</v>
      </c>
      <c r="H213" s="364">
        <f t="shared" si="21"/>
        <v>-3.0799714807202519E-2</v>
      </c>
      <c r="I213" s="363"/>
    </row>
    <row r="214" spans="2:9" x14ac:dyDescent="0.25">
      <c r="B214" s="361">
        <v>42625</v>
      </c>
      <c r="C214" s="362">
        <v>800</v>
      </c>
      <c r="D214" s="363">
        <v>32.297429999999999</v>
      </c>
      <c r="E214" s="363">
        <v>30.89</v>
      </c>
      <c r="F214" s="363">
        <f t="shared" si="19"/>
        <v>-1125.9439999999984</v>
      </c>
      <c r="G214" s="363">
        <f t="shared" si="23"/>
        <v>25837.944</v>
      </c>
      <c r="H214" s="364">
        <f t="shared" si="21"/>
        <v>-4.3577151494716394E-2</v>
      </c>
      <c r="I214" s="363"/>
    </row>
    <row r="215" spans="2:9" x14ac:dyDescent="0.25">
      <c r="B215" s="361">
        <v>42632</v>
      </c>
      <c r="C215" s="362">
        <v>800</v>
      </c>
      <c r="D215" s="363">
        <v>32.297429999999999</v>
      </c>
      <c r="E215" s="363">
        <v>30.79</v>
      </c>
      <c r="F215" s="363">
        <f t="shared" si="19"/>
        <v>-1205.9439999999995</v>
      </c>
      <c r="G215" s="363">
        <f t="shared" si="23"/>
        <v>25837.944</v>
      </c>
      <c r="H215" s="364">
        <f t="shared" si="21"/>
        <v>-4.6673373082626063E-2</v>
      </c>
      <c r="I215" s="363"/>
    </row>
    <row r="216" spans="2:9" x14ac:dyDescent="0.25">
      <c r="B216" s="361">
        <v>42633</v>
      </c>
      <c r="C216" s="362">
        <v>800</v>
      </c>
      <c r="D216" s="363">
        <v>32.297429999999999</v>
      </c>
      <c r="E216" s="363">
        <v>31.09</v>
      </c>
      <c r="F216" s="363">
        <f t="shared" si="19"/>
        <v>-965.94399999999894</v>
      </c>
      <c r="G216" s="363">
        <f t="shared" si="23"/>
        <v>25837.944</v>
      </c>
      <c r="H216" s="364">
        <f t="shared" si="21"/>
        <v>-3.7384708318897161E-2</v>
      </c>
      <c r="I216" s="363"/>
    </row>
    <row r="217" spans="2:9" x14ac:dyDescent="0.25">
      <c r="B217" s="361">
        <v>42605</v>
      </c>
      <c r="C217" s="362">
        <v>800</v>
      </c>
      <c r="D217" s="363">
        <v>32.297429999999999</v>
      </c>
      <c r="E217" s="363">
        <v>30.45</v>
      </c>
      <c r="F217" s="363">
        <f t="shared" si="19"/>
        <v>-1477.9439999999995</v>
      </c>
      <c r="G217" s="363">
        <f t="shared" si="23"/>
        <v>25837.944</v>
      </c>
      <c r="H217" s="364">
        <f t="shared" si="21"/>
        <v>-5.7200526481518785E-2</v>
      </c>
      <c r="I217" s="363"/>
    </row>
    <row r="218" spans="2:9" x14ac:dyDescent="0.25">
      <c r="B218" s="361">
        <v>42639</v>
      </c>
      <c r="C218" s="362">
        <v>900</v>
      </c>
      <c r="D218" s="363">
        <v>32.05104</v>
      </c>
      <c r="E218" s="363">
        <v>30.08</v>
      </c>
      <c r="F218" s="363">
        <f t="shared" si="19"/>
        <v>-1773.936000000002</v>
      </c>
      <c r="G218" s="363">
        <f t="shared" si="23"/>
        <v>28845.936000000002</v>
      </c>
      <c r="H218" s="364">
        <f t="shared" si="21"/>
        <v>-6.14969124246827E-2</v>
      </c>
      <c r="I218" s="363"/>
    </row>
    <row r="219" spans="2:9" x14ac:dyDescent="0.25">
      <c r="B219" s="361">
        <v>42640</v>
      </c>
      <c r="C219" s="362">
        <v>900</v>
      </c>
      <c r="D219" s="363">
        <v>32.05104</v>
      </c>
      <c r="E219" s="363">
        <v>29.9</v>
      </c>
      <c r="F219" s="363">
        <f t="shared" si="19"/>
        <v>-1935.9360000000017</v>
      </c>
      <c r="G219" s="363">
        <f t="shared" si="23"/>
        <v>28845.936000000002</v>
      </c>
      <c r="H219" s="364">
        <f t="shared" si="21"/>
        <v>-6.7112954837034985E-2</v>
      </c>
      <c r="I219" s="363"/>
    </row>
    <row r="220" spans="2:9" x14ac:dyDescent="0.25">
      <c r="B220" s="361">
        <v>42641</v>
      </c>
      <c r="C220" s="362">
        <v>900</v>
      </c>
      <c r="D220" s="363">
        <v>32.05104</v>
      </c>
      <c r="E220" s="363">
        <v>29.84</v>
      </c>
      <c r="F220" s="363">
        <f t="shared" si="19"/>
        <v>-1989.9360000000006</v>
      </c>
      <c r="G220" s="363">
        <f t="shared" si="23"/>
        <v>28845.936000000002</v>
      </c>
      <c r="H220" s="364">
        <f t="shared" si="21"/>
        <v>-6.8984968974485708E-2</v>
      </c>
      <c r="I220" s="363"/>
    </row>
    <row r="221" spans="2:9" x14ac:dyDescent="0.25">
      <c r="B221" s="361">
        <v>42643</v>
      </c>
      <c r="C221" s="362">
        <v>900</v>
      </c>
      <c r="D221" s="363">
        <v>32.05104</v>
      </c>
      <c r="E221" s="363">
        <v>29.68</v>
      </c>
      <c r="F221" s="363">
        <f t="shared" si="19"/>
        <v>-2133.9360000000006</v>
      </c>
      <c r="G221" s="363">
        <f t="shared" si="23"/>
        <v>28845.936000000002</v>
      </c>
      <c r="H221" s="364">
        <f t="shared" si="21"/>
        <v>-7.3977006674354431E-2</v>
      </c>
      <c r="I221" s="363"/>
    </row>
    <row r="222" spans="2:9" x14ac:dyDescent="0.25">
      <c r="B222" s="361">
        <v>42646</v>
      </c>
      <c r="C222" s="362">
        <v>1000</v>
      </c>
      <c r="D222" s="363">
        <v>31.78594</v>
      </c>
      <c r="E222" s="363">
        <v>29.28</v>
      </c>
      <c r="F222" s="363">
        <f t="shared" si="19"/>
        <v>-2505.9399999999991</v>
      </c>
      <c r="G222" s="363">
        <f t="shared" si="23"/>
        <v>31785.94</v>
      </c>
      <c r="H222" s="364">
        <f t="shared" si="21"/>
        <v>-7.8838001959356835E-2</v>
      </c>
      <c r="I222" s="363"/>
    </row>
    <row r="223" spans="2:9" x14ac:dyDescent="0.25">
      <c r="B223" s="361">
        <v>42648</v>
      </c>
      <c r="C223" s="362">
        <v>1000</v>
      </c>
      <c r="D223" s="363">
        <v>31.78594</v>
      </c>
      <c r="E223" s="363">
        <v>28.84</v>
      </c>
      <c r="F223" s="363">
        <f t="shared" si="19"/>
        <v>-2945.94</v>
      </c>
      <c r="G223" s="363">
        <f t="shared" si="23"/>
        <v>31785.94</v>
      </c>
      <c r="H223" s="364">
        <f t="shared" si="21"/>
        <v>-9.2680600290568724E-2</v>
      </c>
      <c r="I223" s="363"/>
    </row>
    <row r="224" spans="2:9" x14ac:dyDescent="0.25">
      <c r="B224" s="361">
        <v>42649</v>
      </c>
      <c r="C224" s="362">
        <v>1000</v>
      </c>
      <c r="D224" s="363">
        <v>31.78594</v>
      </c>
      <c r="E224" s="363">
        <v>29.37</v>
      </c>
      <c r="F224" s="363">
        <f t="shared" si="19"/>
        <v>-2415.9399999999991</v>
      </c>
      <c r="G224" s="363">
        <f t="shared" si="23"/>
        <v>31785.94</v>
      </c>
      <c r="H224" s="364">
        <f t="shared" si="21"/>
        <v>-7.6006561391608968E-2</v>
      </c>
      <c r="I224" s="363"/>
    </row>
    <row r="225" spans="2:9" x14ac:dyDescent="0.25">
      <c r="B225" s="361">
        <v>42650</v>
      </c>
      <c r="C225" s="362">
        <v>1000</v>
      </c>
      <c r="D225" s="363">
        <v>31.78594</v>
      </c>
      <c r="E225" s="363">
        <v>29</v>
      </c>
      <c r="F225" s="363">
        <f t="shared" si="19"/>
        <v>-2785.94</v>
      </c>
      <c r="G225" s="363">
        <f t="shared" si="23"/>
        <v>31785.94</v>
      </c>
      <c r="H225" s="364">
        <f t="shared" si="21"/>
        <v>-8.7646928170128049E-2</v>
      </c>
      <c r="I225" s="363"/>
    </row>
    <row r="226" spans="2:9" x14ac:dyDescent="0.25">
      <c r="B226" s="361">
        <v>42661</v>
      </c>
      <c r="C226" s="362">
        <v>1000</v>
      </c>
      <c r="D226" s="363">
        <v>31.78594</v>
      </c>
      <c r="E226" s="363">
        <v>30.64</v>
      </c>
      <c r="F226" s="363">
        <f t="shared" ref="F226:F231" si="24">C226*(E226-D226)</f>
        <v>-1145.9399999999996</v>
      </c>
      <c r="G226" s="363">
        <f t="shared" ref="G226:G231" si="25">D226*C226</f>
        <v>31785.94</v>
      </c>
      <c r="H226" s="364">
        <f t="shared" ref="H226:H231" si="26">(E226-D226)/D226</f>
        <v>-3.6051788935611138E-2</v>
      </c>
      <c r="I226" s="363"/>
    </row>
    <row r="227" spans="2:9" x14ac:dyDescent="0.25">
      <c r="B227" s="361">
        <v>42671</v>
      </c>
      <c r="C227" s="362">
        <v>900</v>
      </c>
      <c r="D227" s="363">
        <v>31.837789999999998</v>
      </c>
      <c r="E227" s="363">
        <v>31.26</v>
      </c>
      <c r="F227" s="363">
        <f t="shared" si="24"/>
        <v>-520.01099999999701</v>
      </c>
      <c r="G227" s="363">
        <f t="shared" si="25"/>
        <v>28654.010999999999</v>
      </c>
      <c r="H227" s="364">
        <f t="shared" si="26"/>
        <v>-1.8147930493919232E-2</v>
      </c>
      <c r="I227" s="363"/>
    </row>
    <row r="228" spans="2:9" x14ac:dyDescent="0.25">
      <c r="B228" s="361">
        <v>42674</v>
      </c>
      <c r="C228" s="362">
        <v>1000</v>
      </c>
      <c r="D228" s="363">
        <v>31.763999999999999</v>
      </c>
      <c r="E228" s="363">
        <v>30.98</v>
      </c>
      <c r="F228" s="363">
        <f t="shared" si="24"/>
        <v>-783.99999999999886</v>
      </c>
      <c r="G228" s="363">
        <f t="shared" si="25"/>
        <v>31764</v>
      </c>
      <c r="H228" s="364">
        <f t="shared" si="26"/>
        <v>-2.468202997103636E-2</v>
      </c>
      <c r="I228" s="363"/>
    </row>
    <row r="229" spans="2:9" x14ac:dyDescent="0.25">
      <c r="B229" s="361">
        <v>42676</v>
      </c>
      <c r="C229" s="362">
        <v>500</v>
      </c>
      <c r="D229" s="363">
        <v>31.518719999999998</v>
      </c>
      <c r="E229" s="363">
        <v>32.22</v>
      </c>
      <c r="F229" s="363">
        <f t="shared" si="24"/>
        <v>350.64000000000027</v>
      </c>
      <c r="G229" s="363">
        <f t="shared" si="25"/>
        <v>15759.359999999999</v>
      </c>
      <c r="H229" s="364">
        <f t="shared" si="26"/>
        <v>2.2249634502923995E-2</v>
      </c>
      <c r="I229" s="363">
        <v>31</v>
      </c>
    </row>
    <row r="230" spans="2:9" x14ac:dyDescent="0.25">
      <c r="B230" s="361">
        <v>42677</v>
      </c>
      <c r="C230" s="362">
        <v>800</v>
      </c>
      <c r="D230" s="363">
        <v>31.51858</v>
      </c>
      <c r="E230" s="363">
        <v>31.02</v>
      </c>
      <c r="F230" s="363">
        <f t="shared" si="24"/>
        <v>-398.86400000000037</v>
      </c>
      <c r="G230" s="363">
        <f t="shared" si="25"/>
        <v>25214.864000000001</v>
      </c>
      <c r="H230" s="364">
        <f t="shared" si="26"/>
        <v>-1.5818606041262027E-2</v>
      </c>
      <c r="I230" s="363"/>
    </row>
    <row r="231" spans="2:9" x14ac:dyDescent="0.25">
      <c r="B231" s="361">
        <v>42701</v>
      </c>
      <c r="C231" s="362">
        <v>400</v>
      </c>
      <c r="D231" s="363">
        <v>30.677849999999999</v>
      </c>
      <c r="E231" s="363">
        <v>33.880000000000003</v>
      </c>
      <c r="F231" s="363">
        <f t="shared" si="24"/>
        <v>1280.8600000000013</v>
      </c>
      <c r="G231" s="363">
        <f t="shared" si="25"/>
        <v>12271.14</v>
      </c>
      <c r="H231" s="364">
        <f t="shared" si="26"/>
        <v>0.10437987016691207</v>
      </c>
      <c r="I231" s="363"/>
    </row>
    <row r="232" spans="2:9" x14ac:dyDescent="0.25">
      <c r="B232" s="361">
        <v>42704</v>
      </c>
      <c r="C232" s="362">
        <v>400</v>
      </c>
      <c r="D232" s="363">
        <v>30.677849999999999</v>
      </c>
      <c r="E232" s="363">
        <v>32.299999999999997</v>
      </c>
      <c r="F232" s="363">
        <f t="shared" ref="F232:F238" si="27">C232*(E232-D232)</f>
        <v>648.8599999999991</v>
      </c>
      <c r="G232" s="363">
        <f t="shared" ref="G232:G238" si="28">D232*C232</f>
        <v>12271.14</v>
      </c>
      <c r="H232" s="364">
        <f t="shared" ref="H232:H238" si="29">(E232-D232)/D232</f>
        <v>5.2876912821465581E-2</v>
      </c>
      <c r="I232" s="363"/>
    </row>
    <row r="233" spans="2:9" x14ac:dyDescent="0.25">
      <c r="B233" s="361">
        <v>42706</v>
      </c>
      <c r="C233" s="362">
        <v>400</v>
      </c>
      <c r="D233" s="363">
        <v>30.527850000000001</v>
      </c>
      <c r="E233" s="363">
        <v>33.299999999999997</v>
      </c>
      <c r="F233" s="363">
        <f t="shared" si="27"/>
        <v>1108.8599999999985</v>
      </c>
      <c r="G233" s="363">
        <f t="shared" si="28"/>
        <v>12211.14</v>
      </c>
      <c r="H233" s="364">
        <f t="shared" si="29"/>
        <v>9.0807246497869851E-2</v>
      </c>
      <c r="I233" s="363"/>
    </row>
    <row r="234" spans="2:9" x14ac:dyDescent="0.25">
      <c r="B234" s="361">
        <v>42712</v>
      </c>
      <c r="C234" s="362">
        <v>300</v>
      </c>
      <c r="D234" s="363">
        <v>29.297370000000001</v>
      </c>
      <c r="E234" s="363">
        <v>34.19</v>
      </c>
      <c r="F234" s="363">
        <f t="shared" si="27"/>
        <v>1467.7889999999991</v>
      </c>
      <c r="G234" s="363">
        <f t="shared" si="28"/>
        <v>8789.2109999999993</v>
      </c>
      <c r="H234" s="364">
        <f t="shared" si="29"/>
        <v>0.16699894905242338</v>
      </c>
      <c r="I234" s="363"/>
    </row>
    <row r="235" spans="2:9" x14ac:dyDescent="0.25">
      <c r="B235" s="361">
        <v>42713</v>
      </c>
      <c r="C235" s="362">
        <v>200</v>
      </c>
      <c r="D235" s="363">
        <v>26.551449999999999</v>
      </c>
      <c r="E235" s="363">
        <v>34.78</v>
      </c>
      <c r="F235" s="363">
        <f t="shared" si="27"/>
        <v>1645.7100000000005</v>
      </c>
      <c r="G235" s="363">
        <f t="shared" si="28"/>
        <v>5310.29</v>
      </c>
      <c r="H235" s="364">
        <f t="shared" si="29"/>
        <v>0.30990962828772073</v>
      </c>
      <c r="I235" s="363"/>
    </row>
    <row r="236" spans="2:9" x14ac:dyDescent="0.25">
      <c r="B236" s="361">
        <v>42716</v>
      </c>
      <c r="C236" s="362">
        <v>300</v>
      </c>
      <c r="D236" s="363">
        <v>29.0943</v>
      </c>
      <c r="E236" s="363">
        <v>34.22</v>
      </c>
      <c r="F236" s="363">
        <f t="shared" si="27"/>
        <v>1537.7099999999996</v>
      </c>
      <c r="G236" s="363">
        <f t="shared" si="28"/>
        <v>8728.2900000000009</v>
      </c>
      <c r="H236" s="364">
        <f t="shared" si="29"/>
        <v>0.17617540205469795</v>
      </c>
      <c r="I236" s="363"/>
    </row>
    <row r="237" spans="2:9" x14ac:dyDescent="0.25">
      <c r="B237" s="361">
        <v>42718</v>
      </c>
      <c r="C237" s="362">
        <v>100</v>
      </c>
      <c r="D237" s="363">
        <v>17.179500000000001</v>
      </c>
      <c r="E237" s="363">
        <v>34.72</v>
      </c>
      <c r="F237" s="363">
        <f t="shared" si="27"/>
        <v>1754.0499999999997</v>
      </c>
      <c r="G237" s="363">
        <f t="shared" si="28"/>
        <v>1717.95</v>
      </c>
      <c r="H237" s="364">
        <f t="shared" si="29"/>
        <v>1.021013417154166</v>
      </c>
      <c r="I237" s="363"/>
    </row>
    <row r="238" spans="2:9" x14ac:dyDescent="0.25">
      <c r="B238" s="361">
        <v>42718</v>
      </c>
      <c r="C238" s="362">
        <v>300</v>
      </c>
      <c r="D238" s="363">
        <v>28.9132</v>
      </c>
      <c r="E238" s="363">
        <v>34.72</v>
      </c>
      <c r="F238" s="363">
        <f t="shared" si="27"/>
        <v>1742.0399999999997</v>
      </c>
      <c r="G238" s="363">
        <f t="shared" si="28"/>
        <v>8673.9599999999991</v>
      </c>
      <c r="H238" s="364">
        <f t="shared" si="29"/>
        <v>0.20083560449898313</v>
      </c>
      <c r="I238" s="363"/>
    </row>
    <row r="239" spans="2:9" x14ac:dyDescent="0.25">
      <c r="B239" s="361">
        <v>42729</v>
      </c>
      <c r="C239" s="362">
        <v>300</v>
      </c>
      <c r="D239" s="363">
        <v>28.9132</v>
      </c>
      <c r="E239" s="363">
        <v>35.08</v>
      </c>
      <c r="F239" s="363">
        <f>C239*(E239-D239)</f>
        <v>1850.0399999999995</v>
      </c>
      <c r="G239" s="363">
        <f>D239*C239</f>
        <v>8673.9599999999991</v>
      </c>
      <c r="H239" s="364">
        <f>(E239-D239)/D239</f>
        <v>0.21328666491429515</v>
      </c>
      <c r="I239" s="363"/>
    </row>
    <row r="240" spans="2:9" x14ac:dyDescent="0.25">
      <c r="B240" s="361">
        <v>42745</v>
      </c>
      <c r="C240" s="362">
        <v>400</v>
      </c>
      <c r="D240" s="363">
        <v>30.12988</v>
      </c>
      <c r="E240" s="363">
        <v>33.19</v>
      </c>
      <c r="F240" s="363">
        <f>C240*(E240-D240)</f>
        <v>1224.0479999999991</v>
      </c>
      <c r="G240" s="363">
        <f>D240*C240</f>
        <v>12051.951999999999</v>
      </c>
      <c r="H240" s="364">
        <f>(E240-D240)/D240</f>
        <v>0.1015642943151449</v>
      </c>
      <c r="I240" s="363"/>
    </row>
    <row r="241" spans="2:9" x14ac:dyDescent="0.25">
      <c r="B241" s="361">
        <v>42752</v>
      </c>
      <c r="C241" s="362">
        <v>300</v>
      </c>
      <c r="D241" s="363">
        <v>28.620100000000001</v>
      </c>
      <c r="E241" s="363">
        <v>34.840000000000003</v>
      </c>
      <c r="F241" s="363">
        <f>C241*(E241-D241)</f>
        <v>1865.9700000000007</v>
      </c>
      <c r="G241" s="363">
        <f>D241*C241</f>
        <v>8586.0300000000007</v>
      </c>
      <c r="H241" s="364">
        <f>(E241-D241)/D241</f>
        <v>0.21732628467405782</v>
      </c>
      <c r="I241" s="363">
        <v>28.25</v>
      </c>
    </row>
    <row r="242" spans="2:9" x14ac:dyDescent="0.25">
      <c r="B242" s="361">
        <v>42754</v>
      </c>
      <c r="C242" s="362">
        <v>400</v>
      </c>
      <c r="D242" s="363">
        <v>30.032579999999999</v>
      </c>
      <c r="E242" s="363">
        <v>34.26</v>
      </c>
      <c r="F242" s="363">
        <f>C242*(E242-D242)</f>
        <v>1690.9679999999994</v>
      </c>
      <c r="G242" s="363">
        <f>D242*C242</f>
        <v>12013.031999999999</v>
      </c>
      <c r="H242" s="364">
        <f>(E242-D242)/D242</f>
        <v>0.14076113340911767</v>
      </c>
      <c r="I242" s="363"/>
    </row>
    <row r="257" spans="1:13" x14ac:dyDescent="0.25">
      <c r="M257" s="2">
        <f>M285+K288-F288</f>
        <v>1747.9699999999939</v>
      </c>
    </row>
    <row r="258" spans="1:13" x14ac:dyDescent="0.25">
      <c r="M258" s="252" t="s">
        <v>38</v>
      </c>
    </row>
    <row r="259" spans="1:13" x14ac:dyDescent="0.25">
      <c r="M259" s="251">
        <v>10.5</v>
      </c>
    </row>
    <row r="260" spans="1:13" x14ac:dyDescent="0.25">
      <c r="L260" t="s">
        <v>65</v>
      </c>
      <c r="M260" s="251">
        <v>48</v>
      </c>
    </row>
    <row r="261" spans="1:13" x14ac:dyDescent="0.25">
      <c r="A261" s="252" t="s">
        <v>1</v>
      </c>
      <c r="B261" s="252" t="s">
        <v>2</v>
      </c>
      <c r="C261" s="252" t="s">
        <v>4</v>
      </c>
      <c r="D261" s="253" t="s">
        <v>5</v>
      </c>
      <c r="E261" s="253" t="s">
        <v>94</v>
      </c>
      <c r="F261" s="253" t="s">
        <v>60</v>
      </c>
      <c r="G261" s="252" t="s">
        <v>3</v>
      </c>
      <c r="H261" s="252" t="s">
        <v>6</v>
      </c>
      <c r="I261" s="253" t="s">
        <v>7</v>
      </c>
      <c r="J261" s="253" t="s">
        <v>95</v>
      </c>
      <c r="K261" s="253" t="s">
        <v>61</v>
      </c>
      <c r="L261" s="252" t="s">
        <v>37</v>
      </c>
      <c r="M261" s="251">
        <v>60</v>
      </c>
    </row>
    <row r="262" spans="1:13" x14ac:dyDescent="0.25">
      <c r="A262" s="254" t="s">
        <v>195</v>
      </c>
      <c r="B262" s="255">
        <v>42482</v>
      </c>
      <c r="C262" s="250">
        <v>80</v>
      </c>
      <c r="D262" s="251">
        <v>36.01</v>
      </c>
      <c r="E262" s="251">
        <v>0</v>
      </c>
      <c r="F262" s="251">
        <f t="shared" ref="F262:F282" si="30">D262*C262+E262</f>
        <v>2880.7999999999997</v>
      </c>
      <c r="G262" s="255">
        <v>42514</v>
      </c>
      <c r="H262" s="250">
        <v>40</v>
      </c>
      <c r="I262" s="251">
        <v>35.35</v>
      </c>
      <c r="J262" s="251">
        <v>0.03</v>
      </c>
      <c r="K262" s="251">
        <f>I262*H262-J262</f>
        <v>1413.97</v>
      </c>
      <c r="L262" s="255">
        <v>42522</v>
      </c>
      <c r="M262" s="250"/>
    </row>
    <row r="263" spans="1:13" x14ac:dyDescent="0.25">
      <c r="A263" s="257" t="s">
        <v>71</v>
      </c>
      <c r="B263" s="255">
        <v>42482</v>
      </c>
      <c r="C263" s="250">
        <v>20</v>
      </c>
      <c r="D263" s="251">
        <v>35.549999999999997</v>
      </c>
      <c r="E263" s="251">
        <v>0</v>
      </c>
      <c r="F263" s="251">
        <f t="shared" si="30"/>
        <v>711</v>
      </c>
      <c r="G263" s="250"/>
      <c r="H263" s="250"/>
      <c r="I263" s="251"/>
      <c r="J263" s="251"/>
      <c r="K263" s="251"/>
      <c r="L263" s="255">
        <v>42614</v>
      </c>
      <c r="M263" s="250"/>
    </row>
    <row r="264" spans="1:13" x14ac:dyDescent="0.25">
      <c r="A264" s="250"/>
      <c r="B264" s="255">
        <v>42508</v>
      </c>
      <c r="C264" s="250">
        <v>40</v>
      </c>
      <c r="D264" s="251">
        <v>34.19</v>
      </c>
      <c r="E264" s="251">
        <v>0</v>
      </c>
      <c r="F264" s="251">
        <f t="shared" si="30"/>
        <v>1367.6</v>
      </c>
      <c r="G264" s="255">
        <v>42521</v>
      </c>
      <c r="H264" s="256">
        <v>40</v>
      </c>
      <c r="I264" s="251">
        <v>35.99</v>
      </c>
      <c r="J264" s="251">
        <v>0.03</v>
      </c>
      <c r="K264" s="251">
        <f t="shared" ref="K264:K279" si="31">I264*H264-J264</f>
        <v>1439.5700000000002</v>
      </c>
      <c r="L264" s="255">
        <v>42706</v>
      </c>
      <c r="M264" s="250"/>
    </row>
    <row r="265" spans="1:13" x14ac:dyDescent="0.25">
      <c r="A265" s="250"/>
      <c r="B265" s="255">
        <v>42509</v>
      </c>
      <c r="C265" s="250">
        <v>100</v>
      </c>
      <c r="D265" s="251">
        <v>34.49</v>
      </c>
      <c r="E265" s="251">
        <v>0</v>
      </c>
      <c r="F265" s="251">
        <f t="shared" si="30"/>
        <v>3449</v>
      </c>
      <c r="G265" s="255">
        <v>42531</v>
      </c>
      <c r="H265" s="256">
        <v>100</v>
      </c>
      <c r="I265" s="251">
        <v>36.99</v>
      </c>
      <c r="J265" s="251">
        <v>0.08</v>
      </c>
      <c r="K265" s="251">
        <f t="shared" si="31"/>
        <v>3698.92</v>
      </c>
      <c r="L265" s="250"/>
      <c r="M265" s="250"/>
    </row>
    <row r="266" spans="1:13" x14ac:dyDescent="0.25">
      <c r="A266" s="250"/>
      <c r="B266" s="255">
        <v>42536</v>
      </c>
      <c r="C266" s="250">
        <v>100</v>
      </c>
      <c r="D266" s="251">
        <v>35.39</v>
      </c>
      <c r="E266" s="251">
        <v>0</v>
      </c>
      <c r="F266" s="251">
        <f t="shared" si="30"/>
        <v>3539</v>
      </c>
      <c r="G266" s="255">
        <v>42594</v>
      </c>
      <c r="H266" s="256">
        <v>100</v>
      </c>
      <c r="I266" s="251">
        <v>32.58</v>
      </c>
      <c r="J266" s="251">
        <v>7.0000000000000007E-2</v>
      </c>
      <c r="K266" s="251">
        <f t="shared" si="31"/>
        <v>3257.93</v>
      </c>
      <c r="L266" s="250"/>
      <c r="M266" s="250"/>
    </row>
    <row r="267" spans="1:13" x14ac:dyDescent="0.25">
      <c r="A267" s="250"/>
      <c r="B267" s="255">
        <v>42579</v>
      </c>
      <c r="C267" s="250">
        <v>40</v>
      </c>
      <c r="D267" s="251">
        <v>35</v>
      </c>
      <c r="E267" s="251">
        <v>0</v>
      </c>
      <c r="F267" s="251">
        <f t="shared" si="30"/>
        <v>1400</v>
      </c>
      <c r="G267" s="255">
        <v>42671</v>
      </c>
      <c r="H267" s="256">
        <v>100</v>
      </c>
      <c r="I267" s="251">
        <v>31.32</v>
      </c>
      <c r="J267" s="251">
        <v>7.0000000000000007E-2</v>
      </c>
      <c r="K267" s="251">
        <f t="shared" si="31"/>
        <v>3131.93</v>
      </c>
      <c r="L267" s="250"/>
      <c r="M267" s="250"/>
    </row>
    <row r="268" spans="1:13" x14ac:dyDescent="0.25">
      <c r="A268" s="250"/>
      <c r="B268" s="255">
        <v>42579</v>
      </c>
      <c r="C268" s="250">
        <v>30</v>
      </c>
      <c r="D268" s="251">
        <v>34.57</v>
      </c>
      <c r="E268" s="251">
        <v>-7.0000000000000007E-2</v>
      </c>
      <c r="F268" s="251">
        <f t="shared" si="30"/>
        <v>1037.03</v>
      </c>
      <c r="G268" s="255">
        <v>42676</v>
      </c>
      <c r="H268" s="256">
        <v>200</v>
      </c>
      <c r="I268" s="251">
        <v>31.83</v>
      </c>
      <c r="J268" s="251">
        <v>0.14000000000000001</v>
      </c>
      <c r="K268" s="251">
        <f t="shared" si="31"/>
        <v>6365.86</v>
      </c>
      <c r="L268" s="250"/>
      <c r="M268" s="250"/>
    </row>
    <row r="269" spans="1:13" x14ac:dyDescent="0.25">
      <c r="A269" s="250"/>
      <c r="B269" s="255">
        <v>42580</v>
      </c>
      <c r="C269" s="250">
        <v>30</v>
      </c>
      <c r="D269" s="251">
        <v>33.880000000000003</v>
      </c>
      <c r="E269" s="251">
        <v>0</v>
      </c>
      <c r="F269" s="251">
        <f t="shared" si="30"/>
        <v>1016.4000000000001</v>
      </c>
      <c r="G269" s="255">
        <v>42676</v>
      </c>
      <c r="H269" s="256">
        <v>100</v>
      </c>
      <c r="I269" s="251">
        <v>31.98</v>
      </c>
      <c r="J269" s="251">
        <v>7.0000000000000007E-2</v>
      </c>
      <c r="K269" s="251">
        <f t="shared" si="31"/>
        <v>3197.93</v>
      </c>
      <c r="L269" s="250"/>
      <c r="M269" s="250"/>
    </row>
    <row r="270" spans="1:13" x14ac:dyDescent="0.25">
      <c r="A270" s="250"/>
      <c r="B270" s="255">
        <v>42584</v>
      </c>
      <c r="C270" s="250">
        <v>40</v>
      </c>
      <c r="D270" s="251">
        <v>33.049999999999997</v>
      </c>
      <c r="E270" s="251">
        <v>0</v>
      </c>
      <c r="F270" s="251">
        <f t="shared" si="30"/>
        <v>1322</v>
      </c>
      <c r="G270" s="255">
        <v>42676</v>
      </c>
      <c r="H270" s="256">
        <v>100</v>
      </c>
      <c r="I270" s="251">
        <v>32.18</v>
      </c>
      <c r="J270" s="251">
        <v>7.0000000000000007E-2</v>
      </c>
      <c r="K270" s="251">
        <f t="shared" si="31"/>
        <v>3217.93</v>
      </c>
      <c r="L270" s="250"/>
      <c r="M270" s="250"/>
    </row>
    <row r="271" spans="1:13" x14ac:dyDescent="0.25">
      <c r="A271" s="250"/>
      <c r="B271" s="255">
        <v>42586</v>
      </c>
      <c r="C271" s="250">
        <v>100</v>
      </c>
      <c r="D271" s="251">
        <v>32.479999999999997</v>
      </c>
      <c r="E271" s="251">
        <v>0</v>
      </c>
      <c r="F271" s="251">
        <f t="shared" si="30"/>
        <v>3247.9999999999995</v>
      </c>
      <c r="G271" s="255">
        <v>42676</v>
      </c>
      <c r="H271" s="256">
        <v>100</v>
      </c>
      <c r="I271" s="251">
        <v>32.229999999999997</v>
      </c>
      <c r="J271" s="251">
        <v>7.0000000000000007E-2</v>
      </c>
      <c r="K271" s="251">
        <f t="shared" si="31"/>
        <v>3222.9299999999994</v>
      </c>
      <c r="L271" s="250"/>
      <c r="M271" s="250"/>
    </row>
    <row r="272" spans="1:13" x14ac:dyDescent="0.25">
      <c r="A272" s="250"/>
      <c r="B272" s="255">
        <v>42593</v>
      </c>
      <c r="C272" s="250">
        <v>100</v>
      </c>
      <c r="D272" s="251">
        <v>32.049999999999997</v>
      </c>
      <c r="E272" s="251">
        <v>0</v>
      </c>
      <c r="F272" s="251">
        <f t="shared" si="30"/>
        <v>3204.9999999999995</v>
      </c>
      <c r="G272" s="255">
        <v>42683</v>
      </c>
      <c r="H272" s="256">
        <v>100</v>
      </c>
      <c r="I272" s="251">
        <v>32.33</v>
      </c>
      <c r="J272" s="251">
        <v>7.0000000000000007E-2</v>
      </c>
      <c r="K272" s="251">
        <f t="shared" si="31"/>
        <v>3232.93</v>
      </c>
      <c r="L272" s="250"/>
      <c r="M272" s="250"/>
    </row>
    <row r="273" spans="1:13" x14ac:dyDescent="0.25">
      <c r="A273" s="250"/>
      <c r="B273" s="255">
        <v>42599</v>
      </c>
      <c r="C273" s="250">
        <v>100</v>
      </c>
      <c r="D273" s="251">
        <v>31.68</v>
      </c>
      <c r="E273" s="251">
        <v>0</v>
      </c>
      <c r="F273" s="251">
        <f t="shared" si="30"/>
        <v>3168</v>
      </c>
      <c r="G273" s="255">
        <v>42683</v>
      </c>
      <c r="H273" s="256">
        <v>200</v>
      </c>
      <c r="I273" s="251">
        <v>32.08</v>
      </c>
      <c r="J273" s="251">
        <v>0.14000000000000001</v>
      </c>
      <c r="K273" s="251">
        <f t="shared" si="31"/>
        <v>6415.86</v>
      </c>
      <c r="L273" s="250"/>
      <c r="M273" s="250"/>
    </row>
    <row r="274" spans="1:13" x14ac:dyDescent="0.25">
      <c r="A274" s="250"/>
      <c r="B274" s="255">
        <v>42620</v>
      </c>
      <c r="C274" s="250">
        <v>100</v>
      </c>
      <c r="D274" s="251">
        <v>31.65</v>
      </c>
      <c r="E274" s="251">
        <v>0</v>
      </c>
      <c r="F274" s="251">
        <f t="shared" si="30"/>
        <v>3165</v>
      </c>
      <c r="G274" s="255">
        <v>42684</v>
      </c>
      <c r="H274" s="256">
        <v>100</v>
      </c>
      <c r="I274" s="251">
        <v>32.950000000000003</v>
      </c>
      <c r="J274" s="251">
        <v>7.0000000000000007E-2</v>
      </c>
      <c r="K274" s="251">
        <f t="shared" si="31"/>
        <v>3294.9300000000003</v>
      </c>
      <c r="L274" s="250"/>
      <c r="M274" s="250"/>
    </row>
    <row r="275" spans="1:13" x14ac:dyDescent="0.25">
      <c r="A275" s="250"/>
      <c r="B275" s="255">
        <v>42620</v>
      </c>
      <c r="C275" s="250">
        <v>100</v>
      </c>
      <c r="D275" s="251">
        <v>31.18</v>
      </c>
      <c r="E275" s="251">
        <v>0</v>
      </c>
      <c r="F275" s="251">
        <f t="shared" si="30"/>
        <v>3118</v>
      </c>
      <c r="G275" s="255">
        <v>42712</v>
      </c>
      <c r="H275" s="256">
        <v>100</v>
      </c>
      <c r="I275" s="251">
        <v>34.22</v>
      </c>
      <c r="J275" s="251">
        <v>7.0000000000000007E-2</v>
      </c>
      <c r="K275" s="251">
        <f t="shared" si="31"/>
        <v>3421.93</v>
      </c>
      <c r="L275" s="250"/>
      <c r="M275" s="250"/>
    </row>
    <row r="276" spans="1:13" x14ac:dyDescent="0.25">
      <c r="A276" s="250"/>
      <c r="B276" s="255">
        <v>42625</v>
      </c>
      <c r="C276" s="250">
        <v>100</v>
      </c>
      <c r="D276" s="251">
        <v>30.8</v>
      </c>
      <c r="E276" s="251">
        <v>0</v>
      </c>
      <c r="F276" s="251">
        <f t="shared" si="30"/>
        <v>3080</v>
      </c>
      <c r="G276" s="255">
        <v>42713</v>
      </c>
      <c r="H276" s="256">
        <v>100</v>
      </c>
      <c r="I276" s="251">
        <v>34.79</v>
      </c>
      <c r="J276" s="251">
        <v>0.08</v>
      </c>
      <c r="K276" s="251">
        <f t="shared" si="31"/>
        <v>3478.92</v>
      </c>
      <c r="L276" s="250"/>
      <c r="M276" s="250"/>
    </row>
    <row r="277" spans="1:13" x14ac:dyDescent="0.25">
      <c r="A277" s="250"/>
      <c r="B277" s="255">
        <v>42639</v>
      </c>
      <c r="C277" s="250">
        <v>100</v>
      </c>
      <c r="D277" s="251">
        <v>30.08</v>
      </c>
      <c r="E277" s="251">
        <v>0</v>
      </c>
      <c r="F277" s="251">
        <f t="shared" si="30"/>
        <v>3008</v>
      </c>
      <c r="G277" s="255">
        <v>42718</v>
      </c>
      <c r="H277" s="256">
        <v>100</v>
      </c>
      <c r="I277" s="251">
        <v>35.21</v>
      </c>
      <c r="J277" s="251">
        <v>0.57999999999999996</v>
      </c>
      <c r="K277" s="251">
        <f t="shared" si="31"/>
        <v>3520.42</v>
      </c>
      <c r="L277" s="250"/>
      <c r="M277" s="250"/>
    </row>
    <row r="278" spans="1:13" x14ac:dyDescent="0.25">
      <c r="A278" s="250"/>
      <c r="B278" s="255">
        <v>42646</v>
      </c>
      <c r="C278" s="250">
        <v>100</v>
      </c>
      <c r="D278" s="251">
        <v>29.4</v>
      </c>
      <c r="E278" s="251">
        <v>0</v>
      </c>
      <c r="F278" s="251">
        <f t="shared" si="30"/>
        <v>2940</v>
      </c>
      <c r="G278" s="255">
        <v>42718</v>
      </c>
      <c r="H278" s="256">
        <v>100</v>
      </c>
      <c r="I278" s="251">
        <v>34.9</v>
      </c>
      <c r="J278" s="251">
        <v>0.08</v>
      </c>
      <c r="K278" s="251">
        <f t="shared" si="31"/>
        <v>3489.92</v>
      </c>
      <c r="L278" s="250"/>
      <c r="M278" s="250"/>
    </row>
    <row r="279" spans="1:13" x14ac:dyDescent="0.25">
      <c r="A279" s="250"/>
      <c r="B279" s="255">
        <v>42674</v>
      </c>
      <c r="C279" s="250">
        <v>100</v>
      </c>
      <c r="D279" s="251">
        <v>31.1</v>
      </c>
      <c r="E279" s="251">
        <v>0</v>
      </c>
      <c r="F279" s="251">
        <f t="shared" si="30"/>
        <v>3110</v>
      </c>
      <c r="G279" s="255">
        <v>42752</v>
      </c>
      <c r="H279" s="256">
        <v>100</v>
      </c>
      <c r="I279" s="251">
        <v>34.659999999999997</v>
      </c>
      <c r="J279" s="251">
        <v>0.08</v>
      </c>
      <c r="K279" s="251">
        <f t="shared" si="31"/>
        <v>3465.9199999999996</v>
      </c>
      <c r="L279" s="250"/>
      <c r="M279" s="250"/>
    </row>
    <row r="280" spans="1:13" x14ac:dyDescent="0.25">
      <c r="A280" s="250"/>
      <c r="B280" s="255">
        <v>42677</v>
      </c>
      <c r="C280" s="250">
        <v>200</v>
      </c>
      <c r="D280" s="251">
        <v>31.68</v>
      </c>
      <c r="E280" s="251">
        <v>0</v>
      </c>
      <c r="F280" s="251">
        <f t="shared" si="30"/>
        <v>6336</v>
      </c>
      <c r="G280" s="250"/>
      <c r="H280" s="250"/>
      <c r="I280" s="251"/>
      <c r="J280" s="251"/>
      <c r="K280" s="251"/>
      <c r="L280" s="250"/>
      <c r="M280" s="250"/>
    </row>
    <row r="281" spans="1:13" x14ac:dyDescent="0.25">
      <c r="A281" s="250"/>
      <c r="B281" s="255">
        <v>42677</v>
      </c>
      <c r="C281" s="250">
        <v>100</v>
      </c>
      <c r="D281" s="251">
        <v>31.2</v>
      </c>
      <c r="E281" s="251">
        <v>-0.5</v>
      </c>
      <c r="F281" s="251">
        <f t="shared" si="30"/>
        <v>3119.5</v>
      </c>
      <c r="G281" s="250"/>
      <c r="H281" s="250"/>
      <c r="I281" s="251"/>
      <c r="J281" s="251"/>
      <c r="K281" s="251"/>
      <c r="L281" s="250"/>
      <c r="M281" s="250"/>
    </row>
    <row r="282" spans="1:13" x14ac:dyDescent="0.25">
      <c r="A282" s="250"/>
      <c r="B282" s="255">
        <v>42716</v>
      </c>
      <c r="C282" s="250">
        <v>100</v>
      </c>
      <c r="D282" s="251">
        <v>34.18</v>
      </c>
      <c r="E282" s="251">
        <v>0</v>
      </c>
      <c r="F282" s="251">
        <f t="shared" si="30"/>
        <v>3418</v>
      </c>
      <c r="G282" s="250"/>
      <c r="H282" s="250"/>
      <c r="I282" s="251"/>
      <c r="J282" s="251"/>
      <c r="K282" s="251"/>
      <c r="L282" s="250"/>
      <c r="M282" s="250"/>
    </row>
    <row r="283" spans="1:13" x14ac:dyDescent="0.25">
      <c r="A283" s="250"/>
      <c r="B283" s="255"/>
      <c r="C283" s="250"/>
      <c r="D283" s="251"/>
      <c r="E283" s="251"/>
      <c r="F283" s="251"/>
      <c r="G283" s="250"/>
      <c r="H283" s="250"/>
      <c r="I283" s="251"/>
      <c r="J283" s="251"/>
      <c r="K283" s="251"/>
      <c r="L283" s="250"/>
      <c r="M283" s="250"/>
    </row>
    <row r="284" spans="1:13" x14ac:dyDescent="0.25">
      <c r="A284" s="250"/>
      <c r="B284" s="255"/>
      <c r="C284" s="250"/>
      <c r="D284" s="251"/>
      <c r="E284" s="251"/>
      <c r="F284" s="251"/>
      <c r="G284" s="250"/>
      <c r="H284" s="250"/>
      <c r="I284" s="251"/>
      <c r="J284" s="251"/>
      <c r="K284" s="251"/>
      <c r="L284" s="250"/>
      <c r="M284" s="250"/>
    </row>
    <row r="285" spans="1:13" x14ac:dyDescent="0.25">
      <c r="A285" s="250"/>
      <c r="B285" s="255"/>
      <c r="C285" s="250"/>
      <c r="D285" s="251"/>
      <c r="E285" s="251"/>
      <c r="F285" s="251"/>
      <c r="G285" s="250"/>
      <c r="H285" s="250"/>
      <c r="I285" s="251"/>
      <c r="J285" s="251"/>
      <c r="K285" s="251"/>
      <c r="L285" s="250"/>
      <c r="M285" s="18">
        <f>SUM(M259:M284)</f>
        <v>118.5</v>
      </c>
    </row>
    <row r="286" spans="1:13" x14ac:dyDescent="0.25">
      <c r="A286" s="250"/>
      <c r="B286" s="250"/>
      <c r="C286" s="250"/>
      <c r="D286" s="251"/>
      <c r="E286" s="251"/>
      <c r="F286" s="251"/>
      <c r="G286" s="250"/>
      <c r="H286" s="250"/>
      <c r="I286" s="251"/>
      <c r="J286" s="251"/>
      <c r="K286" s="251"/>
      <c r="L286" s="250"/>
    </row>
    <row r="287" spans="1:13" x14ac:dyDescent="0.25">
      <c r="A287" s="250"/>
      <c r="B287" s="250"/>
      <c r="C287" s="250"/>
      <c r="D287" s="251"/>
      <c r="E287" s="251"/>
      <c r="F287" s="251"/>
      <c r="G287" s="250"/>
      <c r="H287" s="250"/>
      <c r="I287" s="251"/>
      <c r="J287" s="251"/>
      <c r="K287" s="251"/>
      <c r="L287" s="250"/>
    </row>
    <row r="288" spans="1:13" x14ac:dyDescent="0.25">
      <c r="A288" s="31" t="s">
        <v>81</v>
      </c>
      <c r="B288" s="14"/>
      <c r="C288" s="14">
        <f>SUM(C262:C285)</f>
        <v>1780</v>
      </c>
      <c r="D288" s="18"/>
      <c r="E288" s="18"/>
      <c r="F288" s="18">
        <f>SUM(F262:F285)</f>
        <v>57638.33</v>
      </c>
      <c r="G288" s="14"/>
      <c r="H288" s="14">
        <f>SUM(H262:H287)</f>
        <v>1780</v>
      </c>
      <c r="I288" s="18"/>
      <c r="J288" s="18"/>
      <c r="K288" s="18">
        <f>SUM(K262:K287)</f>
        <v>59267.799999999996</v>
      </c>
      <c r="L288" s="14"/>
    </row>
  </sheetData>
  <mergeCells count="1">
    <mergeCell ref="O22:P22"/>
  </mergeCells>
  <conditionalFormatting sqref="O23:O43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3:F177 K94:K128 K132 K141:K142 F139:F142 H139:H142 F166:F167 H166:H167 K166:K167 K150:K151 H150:H152 F150:F152">
    <cfRule type="expression" dxfId="1914" priority="107">
      <formula>F94&gt;0</formula>
    </cfRule>
    <cfRule type="expression" dxfId="1913" priority="108">
      <formula>F94&lt;0</formula>
    </cfRule>
  </conditionalFormatting>
  <conditionalFormatting sqref="F178:F191 F194:F238 F241:F242">
    <cfRule type="expression" dxfId="1912" priority="103">
      <formula>F178&gt;0</formula>
    </cfRule>
    <cfRule type="expression" dxfId="1911" priority="104">
      <formula>F178&lt;0</formula>
    </cfRule>
  </conditionalFormatting>
  <conditionalFormatting sqref="F178:F191 F194:F238 F241:F242">
    <cfRule type="expression" dxfId="1910" priority="105">
      <formula>F178&gt;0</formula>
    </cfRule>
    <cfRule type="expression" dxfId="1909" priority="106">
      <formula>F178&lt;0</formula>
    </cfRule>
  </conditionalFormatting>
  <conditionalFormatting sqref="H173:H191 H194:H238 H241:H242">
    <cfRule type="expression" dxfId="1908" priority="101">
      <formula>H173&gt;0</formula>
    </cfRule>
    <cfRule type="expression" dxfId="1907" priority="102">
      <formula>H173&lt;0</formula>
    </cfRule>
  </conditionalFormatting>
  <conditionalFormatting sqref="F169:F172">
    <cfRule type="expression" dxfId="1906" priority="95">
      <formula>F169&gt;0</formula>
    </cfRule>
    <cfRule type="expression" dxfId="1905" priority="96">
      <formula>F169&lt;0</formula>
    </cfRule>
  </conditionalFormatting>
  <conditionalFormatting sqref="H169:H172">
    <cfRule type="expression" dxfId="1904" priority="93">
      <formula>H169&gt;0</formula>
    </cfRule>
    <cfRule type="expression" dxfId="1903" priority="94">
      <formula>H169&lt;0</formula>
    </cfRule>
  </conditionalFormatting>
  <conditionalFormatting sqref="Q8">
    <cfRule type="expression" dxfId="1902" priority="89">
      <formula>Q8&gt;0</formula>
    </cfRule>
    <cfRule type="expression" dxfId="1901" priority="90">
      <formula>Q8&lt;0</formula>
    </cfRule>
  </conditionalFormatting>
  <conditionalFormatting sqref="Q7">
    <cfRule type="expression" dxfId="1900" priority="91">
      <formula>Q7&gt;0</formula>
    </cfRule>
    <cfRule type="expression" dxfId="1899" priority="92">
      <formula>Q7&lt;0</formula>
    </cfRule>
  </conditionalFormatting>
  <conditionalFormatting sqref="F192">
    <cfRule type="expression" dxfId="1898" priority="85">
      <formula>F192&gt;0</formula>
    </cfRule>
    <cfRule type="expression" dxfId="1897" priority="86">
      <formula>F192&lt;0</formula>
    </cfRule>
  </conditionalFormatting>
  <conditionalFormatting sqref="F192">
    <cfRule type="expression" dxfId="1896" priority="87">
      <formula>F192&gt;0</formula>
    </cfRule>
    <cfRule type="expression" dxfId="1895" priority="88">
      <formula>F192&lt;0</formula>
    </cfRule>
  </conditionalFormatting>
  <conditionalFormatting sqref="H192">
    <cfRule type="expression" dxfId="1894" priority="83">
      <formula>H192&gt;0</formula>
    </cfRule>
    <cfRule type="expression" dxfId="1893" priority="84">
      <formula>H192&lt;0</formula>
    </cfRule>
  </conditionalFormatting>
  <conditionalFormatting sqref="F193">
    <cfRule type="expression" dxfId="1892" priority="79">
      <formula>F193&gt;0</formula>
    </cfRule>
    <cfRule type="expression" dxfId="1891" priority="80">
      <formula>F193&lt;0</formula>
    </cfRule>
  </conditionalFormatting>
  <conditionalFormatting sqref="F193">
    <cfRule type="expression" dxfId="1890" priority="81">
      <formula>F193&gt;0</formula>
    </cfRule>
    <cfRule type="expression" dxfId="1889" priority="82">
      <formula>F193&lt;0</formula>
    </cfRule>
  </conditionalFormatting>
  <conditionalFormatting sqref="H193">
    <cfRule type="expression" dxfId="1888" priority="77">
      <formula>H193&gt;0</formula>
    </cfRule>
    <cfRule type="expression" dxfId="1887" priority="78">
      <formula>H193&lt;0</formula>
    </cfRule>
  </conditionalFormatting>
  <conditionalFormatting sqref="F239:F240">
    <cfRule type="expression" dxfId="1886" priority="73">
      <formula>F239&gt;0</formula>
    </cfRule>
    <cfRule type="expression" dxfId="1885" priority="74">
      <formula>F239&lt;0</formula>
    </cfRule>
  </conditionalFormatting>
  <conditionalFormatting sqref="F239:F240">
    <cfRule type="expression" dxfId="1884" priority="75">
      <formula>F239&gt;0</formula>
    </cfRule>
    <cfRule type="expression" dxfId="1883" priority="76">
      <formula>F239&lt;0</formula>
    </cfRule>
  </conditionalFormatting>
  <conditionalFormatting sqref="H239:H240">
    <cfRule type="expression" dxfId="1882" priority="71">
      <formula>H239&gt;0</formula>
    </cfRule>
    <cfRule type="expression" dxfId="1881" priority="72">
      <formula>H239&lt;0</formula>
    </cfRule>
  </conditionalFormatting>
  <conditionalFormatting sqref="F64:F79">
    <cfRule type="expression" dxfId="1880" priority="69">
      <formula>F64&gt;0</formula>
    </cfRule>
    <cfRule type="expression" dxfId="1879" priority="70">
      <formula>F64&lt;0</formula>
    </cfRule>
  </conditionalFormatting>
  <conditionalFormatting sqref="H64:H79">
    <cfRule type="expression" dxfId="1878" priority="67">
      <formula>H64&gt;0</formula>
    </cfRule>
    <cfRule type="expression" dxfId="1877" priority="68">
      <formula>H64&lt;0</formula>
    </cfRule>
  </conditionalFormatting>
  <conditionalFormatting sqref="Q10">
    <cfRule type="expression" dxfId="1876" priority="65">
      <formula>Q10&gt;0</formula>
    </cfRule>
    <cfRule type="expression" dxfId="1875" priority="66">
      <formula>Q10&lt;0</formula>
    </cfRule>
  </conditionalFormatting>
  <conditionalFormatting sqref="J74:K74">
    <cfRule type="expression" dxfId="1874" priority="63">
      <formula>J74&gt;0</formula>
    </cfRule>
    <cfRule type="expression" dxfId="1873" priority="64">
      <formula>J74&lt;0</formula>
    </cfRule>
  </conditionalFormatting>
  <conditionalFormatting sqref="K75">
    <cfRule type="expression" dxfId="1872" priority="61">
      <formula>K75&gt;0</formula>
    </cfRule>
    <cfRule type="expression" dxfId="1871" priority="62">
      <formula>K75&lt;0</formula>
    </cfRule>
  </conditionalFormatting>
  <conditionalFormatting sqref="K76:K89">
    <cfRule type="expression" dxfId="1870" priority="59">
      <formula>K76&gt;0</formula>
    </cfRule>
    <cfRule type="expression" dxfId="1869" priority="60">
      <formula>K76&lt;0</formula>
    </cfRule>
  </conditionalFormatting>
  <conditionalFormatting sqref="F81:F89">
    <cfRule type="expression" dxfId="1868" priority="57">
      <formula>F81&gt;0</formula>
    </cfRule>
    <cfRule type="expression" dxfId="1867" priority="58">
      <formula>F81&lt;0</formula>
    </cfRule>
  </conditionalFormatting>
  <conditionalFormatting sqref="H81:H89">
    <cfRule type="expression" dxfId="1866" priority="55">
      <formula>H81&gt;0</formula>
    </cfRule>
    <cfRule type="expression" dxfId="1865" priority="56">
      <formula>H81&lt;0</formula>
    </cfRule>
  </conditionalFormatting>
  <conditionalFormatting sqref="R4">
    <cfRule type="expression" dxfId="1864" priority="53">
      <formula>R4&gt;0</formula>
    </cfRule>
    <cfRule type="expression" dxfId="1863" priority="54">
      <formula>R4&lt;0</formula>
    </cfRule>
  </conditionalFormatting>
  <conditionalFormatting sqref="Q9">
    <cfRule type="expression" dxfId="1862" priority="51">
      <formula>Q9&gt;0</formula>
    </cfRule>
    <cfRule type="expression" dxfId="1861" priority="52">
      <formula>Q9&lt;0</formula>
    </cfRule>
  </conditionalFormatting>
  <conditionalFormatting sqref="K90:K93">
    <cfRule type="expression" dxfId="1860" priority="49">
      <formula>K90&gt;0</formula>
    </cfRule>
    <cfRule type="expression" dxfId="1859" priority="50">
      <formula>K90&lt;0</formula>
    </cfRule>
  </conditionalFormatting>
  <conditionalFormatting sqref="F90:F113">
    <cfRule type="expression" dxfId="1858" priority="47">
      <formula>F90&gt;0</formula>
    </cfRule>
    <cfRule type="expression" dxfId="1857" priority="48">
      <formula>F90&lt;0</formula>
    </cfRule>
  </conditionalFormatting>
  <conditionalFormatting sqref="H90:H113">
    <cfRule type="expression" dxfId="1856" priority="45">
      <formula>H90&gt;0</formula>
    </cfRule>
    <cfRule type="expression" dxfId="1855" priority="46">
      <formula>H90&lt;0</formula>
    </cfRule>
  </conditionalFormatting>
  <conditionalFormatting sqref="W1:W3 W5:W6">
    <cfRule type="iconSet" priority="4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99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854" priority="41">
      <formula>F114&gt;0</formula>
    </cfRule>
    <cfRule type="expression" dxfId="1853" priority="42">
      <formula>F114&lt;0</formula>
    </cfRule>
  </conditionalFormatting>
  <conditionalFormatting sqref="H114:H138">
    <cfRule type="expression" dxfId="1852" priority="39">
      <formula>H114&gt;0</formula>
    </cfRule>
    <cfRule type="expression" dxfId="1851" priority="40">
      <formula>H114&lt;0</formula>
    </cfRule>
  </conditionalFormatting>
  <conditionalFormatting sqref="K129:K131">
    <cfRule type="expression" dxfId="1850" priority="37">
      <formula>K129&gt;0</formula>
    </cfRule>
    <cfRule type="expression" dxfId="1849" priority="38">
      <formula>K129&lt;0</formula>
    </cfRule>
  </conditionalFormatting>
  <conditionalFormatting sqref="K133:K135">
    <cfRule type="expression" dxfId="1848" priority="35">
      <formula>K133&gt;0</formula>
    </cfRule>
    <cfRule type="expression" dxfId="1847" priority="36">
      <formula>K133&lt;0</formula>
    </cfRule>
  </conditionalFormatting>
  <conditionalFormatting sqref="K140">
    <cfRule type="expression" dxfId="1846" priority="31">
      <formula>K140&gt;0</formula>
    </cfRule>
    <cfRule type="expression" dxfId="1845" priority="32">
      <formula>K140&lt;0</formula>
    </cfRule>
  </conditionalFormatting>
  <conditionalFormatting sqref="K136:K138">
    <cfRule type="expression" dxfId="1844" priority="29">
      <formula>K136&gt;0</formula>
    </cfRule>
    <cfRule type="expression" dxfId="1843" priority="30">
      <formula>K136&lt;0</formula>
    </cfRule>
  </conditionalFormatting>
  <conditionalFormatting sqref="K139">
    <cfRule type="expression" dxfId="1842" priority="23">
      <formula>K139&gt;0</formula>
    </cfRule>
    <cfRule type="expression" dxfId="1841" priority="24">
      <formula>K139&lt;0</formula>
    </cfRule>
  </conditionalFormatting>
  <conditionalFormatting sqref="H148:H149 F148:F149 K148:K149">
    <cfRule type="expression" dxfId="1840" priority="21">
      <formula>F148&gt;0</formula>
    </cfRule>
    <cfRule type="expression" dxfId="1839" priority="22">
      <formula>F148&lt;0</formula>
    </cfRule>
  </conditionalFormatting>
  <conditionalFormatting sqref="H143:H147 F143:F147 K143:K147">
    <cfRule type="expression" dxfId="1838" priority="19">
      <formula>F143&gt;0</formula>
    </cfRule>
    <cfRule type="expression" dxfId="1837" priority="20">
      <formula>F143&lt;0</formula>
    </cfRule>
  </conditionalFormatting>
  <conditionalFormatting sqref="F80">
    <cfRule type="expression" dxfId="1836" priority="17">
      <formula>F80&gt;0</formula>
    </cfRule>
    <cfRule type="expression" dxfId="1835" priority="18">
      <formula>F80&lt;0</formula>
    </cfRule>
  </conditionalFormatting>
  <conditionalFormatting sqref="H80">
    <cfRule type="expression" dxfId="1834" priority="15">
      <formula>H80&gt;0</formula>
    </cfRule>
    <cfRule type="expression" dxfId="1833" priority="16">
      <formula>H80&lt;0</formula>
    </cfRule>
  </conditionalFormatting>
  <conditionalFormatting sqref="F164:F165 H164:H165 K164:K165">
    <cfRule type="expression" dxfId="1832" priority="13">
      <formula>F164&gt;0</formula>
    </cfRule>
    <cfRule type="expression" dxfId="1831" priority="14">
      <formula>F164&lt;0</formula>
    </cfRule>
  </conditionalFormatting>
  <conditionalFormatting sqref="F162:F163 H162:H163 K162:K163">
    <cfRule type="expression" dxfId="1830" priority="11">
      <formula>F162&gt;0</formula>
    </cfRule>
    <cfRule type="expression" dxfId="1829" priority="12">
      <formula>F162&lt;0</formula>
    </cfRule>
  </conditionalFormatting>
  <conditionalFormatting sqref="F160:F161 H160:H161 K160:K161">
    <cfRule type="expression" dxfId="1828" priority="9">
      <formula>F160&gt;0</formula>
    </cfRule>
    <cfRule type="expression" dxfId="1827" priority="10">
      <formula>F160&lt;0</formula>
    </cfRule>
  </conditionalFormatting>
  <conditionalFormatting sqref="F158:F159 H158:H159 K158:K159">
    <cfRule type="expression" dxfId="1826" priority="7">
      <formula>F158&gt;0</formula>
    </cfRule>
    <cfRule type="expression" dxfId="1825" priority="8">
      <formula>F158&lt;0</formula>
    </cfRule>
  </conditionalFormatting>
  <conditionalFormatting sqref="F157 H157 K156:K157">
    <cfRule type="expression" dxfId="1824" priority="5">
      <formula>F156&gt;0</formula>
    </cfRule>
    <cfRule type="expression" dxfId="1823" priority="6">
      <formula>F156&lt;0</formula>
    </cfRule>
  </conditionalFormatting>
  <conditionalFormatting sqref="K154:K155 F154:F156 H154:H156">
    <cfRule type="expression" dxfId="1822" priority="3">
      <formula>F154&gt;0</formula>
    </cfRule>
    <cfRule type="expression" dxfId="1821" priority="4">
      <formula>F154&lt;0</formula>
    </cfRule>
  </conditionalFormatting>
  <conditionalFormatting sqref="F153 H153 K152:K153">
    <cfRule type="expression" dxfId="1820" priority="1">
      <formula>F152&gt;0</formula>
    </cfRule>
    <cfRule type="expression" dxfId="1819" priority="2">
      <formula>F152&lt;0</formula>
    </cfRule>
  </conditionalFormatting>
  <hyperlinks>
    <hyperlink ref="A3" location="ACTIVE!A1" display="Back"/>
    <hyperlink ref="A26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262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11.25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11.25</v>
      </c>
      <c r="R4" s="475">
        <v>4.4999999999999997E-3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57" t="s">
        <v>78</v>
      </c>
      <c r="P40" s="857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12.375000000000002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4">O42*$Q$4</f>
        <v>12.262500000000001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4"/>
        <v>12.15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4"/>
        <v>12.037500000000001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4"/>
        <v>11.925000000000001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4"/>
        <v>11.8125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4"/>
        <v>11.700000000000001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4"/>
        <v>11.5875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4"/>
        <v>11.475</v>
      </c>
      <c r="Q49" s="2"/>
      <c r="T49" s="91" t="s">
        <v>103</v>
      </c>
      <c r="U49" s="86" t="s">
        <v>367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4"/>
        <v>11.362500000000001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4"/>
        <v>11.25</v>
      </c>
      <c r="Q51" s="2"/>
      <c r="T51" s="91" t="s">
        <v>104</v>
      </c>
      <c r="U51" s="86" t="s">
        <v>583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11.137499999999999</v>
      </c>
      <c r="Q52" s="2"/>
      <c r="T52" s="91" t="s">
        <v>105</v>
      </c>
      <c r="U52" s="86" t="s">
        <v>384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11.025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10.9125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10.799999999999999</v>
      </c>
      <c r="T55" s="91" t="s">
        <v>107</v>
      </c>
      <c r="U55" s="86" t="s">
        <v>584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4"/>
        <v>10.6875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4"/>
        <v>10.574999999999999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4"/>
        <v>10.4625</v>
      </c>
      <c r="T58" s="91" t="s">
        <v>108</v>
      </c>
      <c r="U58" s="86" t="s">
        <v>528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4"/>
        <v>10.35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5">C60*(E60-D60)</f>
        <v>22.969999999999935</v>
      </c>
      <c r="G60" s="251">
        <f t="shared" ref="G60:G95" si="6">D60*C60</f>
        <v>1329.03</v>
      </c>
      <c r="H60" s="265">
        <f t="shared" ref="H60:H95" si="7">(E60-D60)/D60</f>
        <v>1.7283281791983577E-2</v>
      </c>
      <c r="I60" s="251"/>
      <c r="O60" s="81">
        <v>0.91</v>
      </c>
      <c r="P60" s="81">
        <f t="shared" si="4"/>
        <v>10.237500000000001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5"/>
        <v>-11.030000000000051</v>
      </c>
      <c r="G61" s="251">
        <f t="shared" si="6"/>
        <v>1329.03</v>
      </c>
      <c r="H61" s="265">
        <f t="shared" si="7"/>
        <v>-8.2992859453887811E-3</v>
      </c>
      <c r="I61" s="251"/>
      <c r="O61" s="81">
        <v>0.9</v>
      </c>
      <c r="P61" s="81">
        <f t="shared" si="4"/>
        <v>10.125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5"/>
        <v>8.9700000000000557</v>
      </c>
      <c r="G62" s="251">
        <f t="shared" si="6"/>
        <v>1329.03</v>
      </c>
      <c r="H62" s="265">
        <f t="shared" si="7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5"/>
        <v>-44.999999999999929</v>
      </c>
      <c r="G63" s="251">
        <f t="shared" si="6"/>
        <v>1329</v>
      </c>
      <c r="H63" s="265">
        <f t="shared" si="7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5"/>
        <v>12.96999999999997</v>
      </c>
      <c r="G64" s="251">
        <f t="shared" si="6"/>
        <v>1329.03</v>
      </c>
      <c r="H64" s="265">
        <f t="shared" si="7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5"/>
        <v>-111.52500000000032</v>
      </c>
      <c r="G65" s="251">
        <f t="shared" si="6"/>
        <v>3241.5250000000001</v>
      </c>
      <c r="H65" s="265">
        <f t="shared" si="7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5"/>
        <v>-204.52000000000012</v>
      </c>
      <c r="G66" s="251">
        <f t="shared" si="6"/>
        <v>5068.5200000000004</v>
      </c>
      <c r="H66" s="265">
        <f t="shared" si="7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5"/>
        <v>19.480000000000075</v>
      </c>
      <c r="G67" s="251">
        <f t="shared" si="6"/>
        <v>5068.5200000000004</v>
      </c>
      <c r="H67" s="265">
        <f t="shared" si="7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5"/>
        <v>-108.52000000000004</v>
      </c>
      <c r="G68" s="251">
        <f t="shared" si="6"/>
        <v>5068.5200000000004</v>
      </c>
      <c r="H68" s="265">
        <f t="shared" si="7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5"/>
        <v>310.44000000000017</v>
      </c>
      <c r="G69" s="251">
        <f t="shared" si="6"/>
        <v>3760.56</v>
      </c>
      <c r="H69" s="265">
        <f t="shared" si="7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5"/>
        <v>334.44000000000023</v>
      </c>
      <c r="G70" s="251">
        <f t="shared" si="6"/>
        <v>3760.56</v>
      </c>
      <c r="H70" s="265">
        <f t="shared" si="7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5"/>
        <v>361.44000000000017</v>
      </c>
      <c r="G71" s="251">
        <f t="shared" si="6"/>
        <v>3760.56</v>
      </c>
      <c r="H71" s="265">
        <f t="shared" si="7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5"/>
        <v>415.44000000000005</v>
      </c>
      <c r="G72" s="251">
        <f t="shared" si="6"/>
        <v>3760.56</v>
      </c>
      <c r="H72" s="265">
        <f t="shared" si="7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5"/>
        <v>385.44000000000017</v>
      </c>
      <c r="G73" s="251">
        <f t="shared" si="6"/>
        <v>3760.56</v>
      </c>
      <c r="H73" s="265">
        <f t="shared" si="7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5"/>
        <v>393.42499999999967</v>
      </c>
      <c r="G74" s="251">
        <f t="shared" si="6"/>
        <v>3071.5750000000003</v>
      </c>
      <c r="H74" s="265">
        <f t="shared" si="7"/>
        <v>0.12808575405126024</v>
      </c>
      <c r="I74" s="550" t="s">
        <v>250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5"/>
        <v>105.92500000000004</v>
      </c>
      <c r="G75" s="251">
        <f t="shared" si="6"/>
        <v>3071.5750000000003</v>
      </c>
      <c r="H75" s="265">
        <f t="shared" si="7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5"/>
        <v>-86.575000000000287</v>
      </c>
      <c r="G76" s="251">
        <f t="shared" si="6"/>
        <v>3071.5750000000003</v>
      </c>
      <c r="H76" s="265">
        <f t="shared" si="7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5"/>
        <v>-9.0750000000001663</v>
      </c>
      <c r="G77" s="251">
        <f t="shared" si="6"/>
        <v>3071.5750000000003</v>
      </c>
      <c r="H77" s="265">
        <f t="shared" si="7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5"/>
        <v>35.924999999999763</v>
      </c>
      <c r="G78" s="251">
        <f t="shared" si="6"/>
        <v>3071.5750000000003</v>
      </c>
      <c r="H78" s="265">
        <f t="shared" si="7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5"/>
        <v>10.924999999999851</v>
      </c>
      <c r="G79" s="251">
        <f t="shared" si="6"/>
        <v>3071.5750000000003</v>
      </c>
      <c r="H79" s="265">
        <f t="shared" si="7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5"/>
        <v>25.924999999999976</v>
      </c>
      <c r="G80" s="251">
        <f t="shared" si="6"/>
        <v>3071.5750000000003</v>
      </c>
      <c r="H80" s="265">
        <f t="shared" si="7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5"/>
        <v>18.424999999999692</v>
      </c>
      <c r="G81" s="251">
        <f t="shared" si="6"/>
        <v>3071.5750000000003</v>
      </c>
      <c r="H81" s="265">
        <f t="shared" si="7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5"/>
        <v>45.924999999999997</v>
      </c>
      <c r="G82" s="251">
        <f t="shared" si="6"/>
        <v>3071.5750000000003</v>
      </c>
      <c r="H82" s="265">
        <f t="shared" si="7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5"/>
        <v>98.42500000000021</v>
      </c>
      <c r="G83" s="251">
        <f t="shared" si="6"/>
        <v>3026.5749999999998</v>
      </c>
      <c r="H83" s="265">
        <f t="shared" si="7"/>
        <v>3.252025804746296E-2</v>
      </c>
      <c r="I83" s="404" t="s">
        <v>260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5"/>
        <v>147.88499999999988</v>
      </c>
      <c r="G84" s="251">
        <f t="shared" si="6"/>
        <v>1757.115</v>
      </c>
      <c r="H84" s="265">
        <f t="shared" si="7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5"/>
        <v>152.38500000000005</v>
      </c>
      <c r="G85" s="251">
        <f t="shared" si="6"/>
        <v>1757.115</v>
      </c>
      <c r="H85" s="265">
        <f t="shared" si="7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5"/>
        <v>99.88500000000009</v>
      </c>
      <c r="G86" s="251">
        <f t="shared" si="6"/>
        <v>1757.115</v>
      </c>
      <c r="H86" s="265">
        <f t="shared" si="7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5"/>
        <v>147.88499999999988</v>
      </c>
      <c r="G87" s="251">
        <f t="shared" si="6"/>
        <v>1757.115</v>
      </c>
      <c r="H87" s="265">
        <f t="shared" si="7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5"/>
        <v>63.90000000000029</v>
      </c>
      <c r="G88" s="251">
        <f t="shared" si="6"/>
        <v>2971.1</v>
      </c>
      <c r="H88" s="265">
        <f t="shared" si="7"/>
        <v>2.1507185890747633E-2</v>
      </c>
      <c r="I88" s="404" t="s">
        <v>273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5"/>
        <v>148.90000000000026</v>
      </c>
      <c r="G89" s="251">
        <f t="shared" si="6"/>
        <v>2971.1</v>
      </c>
      <c r="H89" s="265">
        <f t="shared" si="7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5"/>
        <v>126.40000000000029</v>
      </c>
      <c r="G90" s="251">
        <f t="shared" si="6"/>
        <v>2971.1</v>
      </c>
      <c r="H90" s="265">
        <f t="shared" si="7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5"/>
        <v>-8.599999999999941</v>
      </c>
      <c r="G91" s="251">
        <f t="shared" si="6"/>
        <v>2971.1</v>
      </c>
      <c r="H91" s="265">
        <f t="shared" si="7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5"/>
        <v>-24.119999999999742</v>
      </c>
      <c r="G92" s="251">
        <f t="shared" si="6"/>
        <v>5307.12</v>
      </c>
      <c r="H92" s="265">
        <f t="shared" si="7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5"/>
        <v>-177.11999999999966</v>
      </c>
      <c r="G93" s="251">
        <f t="shared" si="6"/>
        <v>5307.12</v>
      </c>
      <c r="H93" s="265">
        <f t="shared" si="7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5"/>
        <v>85.819999999999652</v>
      </c>
      <c r="G94" s="251">
        <f t="shared" si="6"/>
        <v>2322.1800000000003</v>
      </c>
      <c r="H94" s="265">
        <f t="shared" si="7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5"/>
        <v>163.31999999999988</v>
      </c>
      <c r="G95" s="251">
        <f t="shared" si="6"/>
        <v>2284.6800000000003</v>
      </c>
      <c r="H95" s="265">
        <f t="shared" si="7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818" priority="31">
      <formula>Q7&gt;0</formula>
    </cfRule>
    <cfRule type="expression" dxfId="1817" priority="32">
      <formula>Q7&lt;0</formula>
    </cfRule>
  </conditionalFormatting>
  <conditionalFormatting sqref="Q8">
    <cfRule type="expression" dxfId="1816" priority="29">
      <formula>Q8&gt;0</formula>
    </cfRule>
    <cfRule type="expression" dxfId="1815" priority="30">
      <formula>Q8&lt;0</formula>
    </cfRule>
  </conditionalFormatting>
  <conditionalFormatting sqref="F62:F65">
    <cfRule type="expression" dxfId="1814" priority="21">
      <formula>F62&gt;0</formula>
    </cfRule>
    <cfRule type="expression" dxfId="1813" priority="22">
      <formula>F62&lt;0</formula>
    </cfRule>
  </conditionalFormatting>
  <conditionalFormatting sqref="F66:F74 F78:F98 F102:F106">
    <cfRule type="expression" dxfId="1812" priority="17">
      <formula>F66&gt;0</formula>
    </cfRule>
    <cfRule type="expression" dxfId="1811" priority="18">
      <formula>F66&lt;0</formula>
    </cfRule>
  </conditionalFormatting>
  <conditionalFormatting sqref="F66:F74 F78:F98 F102:F106">
    <cfRule type="expression" dxfId="1810" priority="19">
      <formula>F66&gt;0</formula>
    </cfRule>
    <cfRule type="expression" dxfId="1809" priority="20">
      <formula>F66&lt;0</formula>
    </cfRule>
  </conditionalFormatting>
  <conditionalFormatting sqref="H62:H74 H78:H98 H102:H106">
    <cfRule type="expression" dxfId="1808" priority="15">
      <formula>H62&gt;0</formula>
    </cfRule>
    <cfRule type="expression" dxfId="1807" priority="16">
      <formula>H62&lt;0</formula>
    </cfRule>
  </conditionalFormatting>
  <conditionalFormatting sqref="F57:F61">
    <cfRule type="expression" dxfId="1806" priority="13">
      <formula>F57&gt;0</formula>
    </cfRule>
    <cfRule type="expression" dxfId="1805" priority="14">
      <formula>F57&lt;0</formula>
    </cfRule>
  </conditionalFormatting>
  <conditionalFormatting sqref="H57:H61">
    <cfRule type="expression" dxfId="1804" priority="11">
      <formula>H57&gt;0</formula>
    </cfRule>
    <cfRule type="expression" dxfId="1803" priority="12">
      <formula>H57&lt;0</formula>
    </cfRule>
  </conditionalFormatting>
  <conditionalFormatting sqref="F75:F77">
    <cfRule type="expression" dxfId="1802" priority="7">
      <formula>F75&gt;0</formula>
    </cfRule>
    <cfRule type="expression" dxfId="1801" priority="8">
      <formula>F75&lt;0</formula>
    </cfRule>
  </conditionalFormatting>
  <conditionalFormatting sqref="F75:F77">
    <cfRule type="expression" dxfId="1800" priority="9">
      <formula>F75&gt;0</formula>
    </cfRule>
    <cfRule type="expression" dxfId="1799" priority="10">
      <formula>F75&lt;0</formula>
    </cfRule>
  </conditionalFormatting>
  <conditionalFormatting sqref="H75:H77">
    <cfRule type="expression" dxfId="1798" priority="5">
      <formula>H75&gt;0</formula>
    </cfRule>
    <cfRule type="expression" dxfId="1797" priority="6">
      <formula>H75&lt;0</formula>
    </cfRule>
  </conditionalFormatting>
  <conditionalFormatting sqref="F22:F30">
    <cfRule type="expression" dxfId="1796" priority="3">
      <formula>F22&gt;0</formula>
    </cfRule>
    <cfRule type="expression" dxfId="1795" priority="4">
      <formula>F22&lt;0</formula>
    </cfRule>
  </conditionalFormatting>
  <conditionalFormatting sqref="F99:F101">
    <cfRule type="expression" dxfId="1794" priority="1">
      <formula>F99&gt;0</formula>
    </cfRule>
    <cfRule type="expression" dxfId="1793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267</v>
      </c>
      <c r="B2" s="47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7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35">
        <v>43292</v>
      </c>
      <c r="C3" s="4">
        <v>50</v>
      </c>
      <c r="D3" s="3">
        <v>126.18</v>
      </c>
      <c r="E3" s="3">
        <v>0</v>
      </c>
      <c r="F3" s="3">
        <f>C3*D3+E3</f>
        <v>6309</v>
      </c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118.6816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131.55000000000001</v>
      </c>
      <c r="R4" s="475">
        <v>9.7999999999999997E-3</v>
      </c>
      <c r="T4" s="817">
        <v>43288</v>
      </c>
      <c r="U4" s="1" t="s">
        <v>1190</v>
      </c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6577.5000000000009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5934.08</v>
      </c>
      <c r="T6" s="1">
        <v>43298</v>
      </c>
      <c r="U6" t="s">
        <v>1215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798.20000000000073</v>
      </c>
      <c r="R7" s="29">
        <v>43325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643.42000000000098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0.1084279281708371</v>
      </c>
    </row>
    <row r="10" spans="1:21" x14ac:dyDescent="0.25">
      <c r="G10" s="29"/>
      <c r="H10" s="70"/>
      <c r="O10" s="11" t="s">
        <v>206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1002</v>
      </c>
      <c r="Q12" s="1"/>
    </row>
    <row r="13" spans="1:21" x14ac:dyDescent="0.25">
      <c r="G13" s="29"/>
      <c r="H13" s="70"/>
      <c r="O13" s="11" t="s">
        <v>965</v>
      </c>
      <c r="Q13" s="2">
        <f>Q4/8.12</f>
        <v>16.20073891625616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50</v>
      </c>
      <c r="I18" s="18"/>
      <c r="J18" s="18"/>
      <c r="K18" s="18">
        <f>SUM(K2:K5)</f>
        <v>6368.92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5994</v>
      </c>
      <c r="G19" s="343"/>
      <c r="H19" s="343">
        <f>SumByColor($A$19,H2:H17)</f>
        <v>50</v>
      </c>
      <c r="I19" s="343"/>
      <c r="J19" s="343"/>
      <c r="K19" s="344">
        <f>SumByColor($A$19,K2:K17)</f>
        <v>6369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 t="shared" ref="F25" si="0">C25*(E25-D25)</f>
        <v>-23.999999999999488</v>
      </c>
      <c r="G25" s="39">
        <f t="shared" ref="G25" si="1">D25*C25</f>
        <v>5994</v>
      </c>
      <c r="H25" s="222">
        <f t="shared" ref="H25" si="2"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222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 t="shared" ref="F27" si="3">C27*(E27-D27)</f>
        <v>374.92000000000019</v>
      </c>
      <c r="G27" s="39">
        <f t="shared" ref="G27" si="4">D27*C27</f>
        <v>5934.08</v>
      </c>
      <c r="H27" s="222">
        <f t="shared" ref="H27" si="5"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 t="shared" ref="F28" si="6">C28*(E28-D28)</f>
        <v>455.91999999999973</v>
      </c>
      <c r="G28" s="39">
        <f t="shared" ref="G28" si="7">D28*C28</f>
        <v>5934.08</v>
      </c>
      <c r="H28" s="222">
        <f t="shared" ref="H28" si="8">(E28-D28)/D28</f>
        <v>7.6830780845556459E-2</v>
      </c>
      <c r="I28" s="39"/>
      <c r="J28" s="39">
        <v>610.70000000000005</v>
      </c>
    </row>
    <row r="29" spans="1:13" x14ac:dyDescent="0.25">
      <c r="A29" s="4"/>
      <c r="B29" s="150"/>
      <c r="C29" s="10"/>
      <c r="D29" s="39"/>
      <c r="E29" s="39"/>
      <c r="F29" s="39"/>
      <c r="G29" s="39"/>
      <c r="H29" s="222"/>
      <c r="I29" s="39"/>
      <c r="J29" s="39"/>
    </row>
    <row r="30" spans="1:13" x14ac:dyDescent="0.25">
      <c r="A30" s="4"/>
      <c r="B30" s="150"/>
      <c r="C30" s="10"/>
      <c r="D30" s="39"/>
      <c r="E30" s="39"/>
      <c r="F30" s="39"/>
      <c r="G30" s="39"/>
      <c r="H30" s="222"/>
      <c r="I30" s="39"/>
      <c r="J30" s="39"/>
    </row>
    <row r="31" spans="1:13" x14ac:dyDescent="0.25">
      <c r="A31" s="4"/>
      <c r="B31" s="150"/>
      <c r="C31" s="10"/>
      <c r="D31" s="39"/>
      <c r="E31" s="39"/>
      <c r="F31" s="39"/>
      <c r="G31" s="39"/>
      <c r="H31" s="222"/>
      <c r="I31" s="39"/>
      <c r="J31" s="39"/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57" t="s">
        <v>78</v>
      </c>
      <c r="P40" s="857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144.70500000000001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9">O42*$Q$4</f>
        <v>143.38950000000003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9"/>
        <v>142.07400000000001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9"/>
        <v>140.75850000000003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9"/>
        <v>139.44300000000001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9"/>
        <v>138.12750000000003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9"/>
        <v>136.81200000000001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9"/>
        <v>135.49650000000003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9"/>
        <v>134.18100000000001</v>
      </c>
      <c r="Q49" s="2"/>
      <c r="T49" s="91" t="s">
        <v>103</v>
      </c>
      <c r="U49" s="127" t="s">
        <v>352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9"/>
        <v>132.86550000000003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9"/>
        <v>131.55000000000001</v>
      </c>
      <c r="Q51" s="2"/>
      <c r="T51" s="91" t="s">
        <v>104</v>
      </c>
      <c r="U51" s="127" t="s">
        <v>585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9"/>
        <v>130.2345</v>
      </c>
      <c r="Q52" s="2"/>
      <c r="T52" s="91" t="s">
        <v>105</v>
      </c>
      <c r="U52" s="127" t="s">
        <v>586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9"/>
        <v>128.91900000000001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9"/>
        <v>127.60350000000001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9"/>
        <v>126.28800000000001</v>
      </c>
      <c r="T55" s="91" t="s">
        <v>107</v>
      </c>
      <c r="U55" s="127" t="s">
        <v>587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9"/>
        <v>124.97250000000001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9"/>
        <v>123.65700000000001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9"/>
        <v>122.34150000000001</v>
      </c>
      <c r="T58" s="91" t="s">
        <v>108</v>
      </c>
      <c r="U58" s="127" t="s">
        <v>535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9"/>
        <v>121.02600000000001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9"/>
        <v>119.71050000000001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9"/>
        <v>118.39500000000001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267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0">C105*(E105-D105)</f>
        <v>-5.3999999999999204</v>
      </c>
      <c r="G105" s="363">
        <f t="shared" ref="G105:G117" si="11">D105*C105</f>
        <v>2370</v>
      </c>
      <c r="H105" s="364">
        <f t="shared" ref="H105:H117" si="12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0"/>
        <v>-12.800000000000011</v>
      </c>
      <c r="G106" s="363">
        <f t="shared" si="11"/>
        <v>2370</v>
      </c>
      <c r="H106" s="364">
        <f t="shared" si="12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0"/>
        <v>8.1999999999999318</v>
      </c>
      <c r="G107" s="363">
        <f t="shared" si="11"/>
        <v>2370</v>
      </c>
      <c r="H107" s="364">
        <f t="shared" si="12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0"/>
        <v>14.799999999999898</v>
      </c>
      <c r="G108" s="363">
        <f t="shared" si="11"/>
        <v>2370</v>
      </c>
      <c r="H108" s="364">
        <f t="shared" si="12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0"/>
        <v>-101.20000000000005</v>
      </c>
      <c r="G109" s="363">
        <f t="shared" si="11"/>
        <v>2370</v>
      </c>
      <c r="H109" s="364">
        <f t="shared" si="12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0"/>
        <v>-50.200000000000102</v>
      </c>
      <c r="G110" s="363">
        <f t="shared" si="11"/>
        <v>2370</v>
      </c>
      <c r="H110" s="364">
        <f t="shared" si="12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0"/>
        <v>-87.400000000000091</v>
      </c>
      <c r="G111" s="363">
        <f t="shared" si="11"/>
        <v>2370</v>
      </c>
      <c r="H111" s="364">
        <f t="shared" si="12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0"/>
        <v>-145.79999999999998</v>
      </c>
      <c r="G112" s="363">
        <f t="shared" si="11"/>
        <v>3484.7999999999997</v>
      </c>
      <c r="H112" s="364">
        <f t="shared" si="12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0"/>
        <v>-135.80100000000016</v>
      </c>
      <c r="G113" s="363">
        <f t="shared" si="11"/>
        <v>3468.8009999999999</v>
      </c>
      <c r="H113" s="364">
        <f t="shared" si="12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0"/>
        <v>-101.48850000000024</v>
      </c>
      <c r="G114" s="363">
        <f t="shared" si="11"/>
        <v>5136.5385000000006</v>
      </c>
      <c r="H114" s="364">
        <f t="shared" si="12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356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0"/>
        <v>-62.039999999999935</v>
      </c>
      <c r="G115" s="363">
        <f t="shared" si="11"/>
        <v>3446.04</v>
      </c>
      <c r="H115" s="364">
        <f t="shared" si="12"/>
        <v>-1.8003273322422242E-2</v>
      </c>
      <c r="I115" s="363"/>
      <c r="J115" s="363"/>
      <c r="K115" s="363"/>
      <c r="L115" s="362"/>
    </row>
    <row r="116" spans="1:12" x14ac:dyDescent="0.25">
      <c r="A116" s="362" t="s">
        <v>394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0"/>
        <v>-36.839999999999833</v>
      </c>
      <c r="G116" s="363">
        <f t="shared" si="11"/>
        <v>3446.04</v>
      </c>
      <c r="H116" s="364">
        <f t="shared" si="12"/>
        <v>-1.0690531740780674E-2</v>
      </c>
      <c r="I116" s="363"/>
      <c r="J116" s="363"/>
      <c r="K116" s="363"/>
      <c r="L116" s="362"/>
    </row>
    <row r="117" spans="1:12" x14ac:dyDescent="0.25">
      <c r="A117" s="362" t="s">
        <v>411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0"/>
        <v>10.219499999999897</v>
      </c>
      <c r="G117" s="363">
        <f t="shared" si="11"/>
        <v>1718.3805</v>
      </c>
      <c r="H117" s="364">
        <f t="shared" si="12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69 F29:F69">
    <cfRule type="expression" dxfId="1792" priority="25">
      <formula>F29&gt;0</formula>
    </cfRule>
    <cfRule type="expression" dxfId="1791" priority="26">
      <formula>F29&lt;0</formula>
    </cfRule>
  </conditionalFormatting>
  <conditionalFormatting sqref="Q7">
    <cfRule type="expression" dxfId="1790" priority="23">
      <formula>Q7&gt;0</formula>
    </cfRule>
    <cfRule type="expression" dxfId="1789" priority="24">
      <formula>Q7&lt;0</formula>
    </cfRule>
  </conditionalFormatting>
  <conditionalFormatting sqref="Q8">
    <cfRule type="expression" dxfId="1788" priority="21">
      <formula>Q8&gt;0</formula>
    </cfRule>
    <cfRule type="expression" dxfId="1787" priority="22">
      <formula>Q8&lt;0</formula>
    </cfRule>
  </conditionalFormatting>
  <conditionalFormatting sqref="M74">
    <cfRule type="expression" dxfId="1786" priority="15">
      <formula>M74&gt;0</formula>
    </cfRule>
    <cfRule type="expression" dxfId="1785" priority="16">
      <formula>M74&lt;0</formula>
    </cfRule>
  </conditionalFormatting>
  <conditionalFormatting sqref="F113:F149 H113:H149">
    <cfRule type="expression" dxfId="1784" priority="13">
      <formula>F113&gt;0</formula>
    </cfRule>
    <cfRule type="expression" dxfId="1783" priority="14">
      <formula>F113&lt;0</formula>
    </cfRule>
  </conditionalFormatting>
  <conditionalFormatting sqref="F105:F112">
    <cfRule type="expression" dxfId="1782" priority="11">
      <formula>F105&gt;0</formula>
    </cfRule>
    <cfRule type="expression" dxfId="1781" priority="12">
      <formula>F105&lt;0</formula>
    </cfRule>
  </conditionalFormatting>
  <conditionalFormatting sqref="H105:H112">
    <cfRule type="expression" dxfId="1780" priority="9">
      <formula>H105&gt;0</formula>
    </cfRule>
    <cfRule type="expression" dxfId="1779" priority="10">
      <formula>H105&lt;0</formula>
    </cfRule>
  </conditionalFormatting>
  <conditionalFormatting sqref="Q10">
    <cfRule type="expression" dxfId="1778" priority="7">
      <formula>Q10&gt;0</formula>
    </cfRule>
    <cfRule type="expression" dxfId="1777" priority="8">
      <formula>Q10&lt;0</formula>
    </cfRule>
  </conditionalFormatting>
  <conditionalFormatting sqref="F25:F28">
    <cfRule type="expression" dxfId="1776" priority="5">
      <formula>F25&gt;0</formula>
    </cfRule>
    <cfRule type="expression" dxfId="1775" priority="6">
      <formula>F25&lt;0</formula>
    </cfRule>
  </conditionalFormatting>
  <conditionalFormatting sqref="H25:H28">
    <cfRule type="expression" dxfId="1774" priority="3">
      <formula>H25&gt;0</formula>
    </cfRule>
    <cfRule type="expression" dxfId="1773" priority="4">
      <formula>H25&lt;0</formula>
    </cfRule>
  </conditionalFormatting>
  <conditionalFormatting sqref="J26:J35">
    <cfRule type="expression" dxfId="1772" priority="1">
      <formula>J26&gt;0</formula>
    </cfRule>
    <cfRule type="expression" dxfId="1771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687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6" si="1">H2*I2-J2</f>
        <v>2379.9499999999998</v>
      </c>
      <c r="L2" s="72"/>
      <c r="M2" s="3"/>
      <c r="O2" s="11" t="s">
        <v>57</v>
      </c>
      <c r="Q2" s="228">
        <f>C29-H29</f>
        <v>30</v>
      </c>
      <c r="T2" s="1">
        <v>43080</v>
      </c>
      <c r="U2" t="s">
        <v>809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107.98333333333382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249.98990000000001</v>
      </c>
      <c r="R4" s="495">
        <v>-7.4999999999999997E-3</v>
      </c>
      <c r="T4" s="770">
        <v>43103</v>
      </c>
      <c r="U4" s="30" t="s">
        <v>1029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7499.6970000000001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3239.5000000000146</v>
      </c>
      <c r="T6" s="1">
        <v>43140</v>
      </c>
      <c r="U6" t="s">
        <v>919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4484.966999999986</v>
      </c>
      <c r="R7" s="29">
        <v>43314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4260.1969999999856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207</v>
      </c>
      <c r="Q9" s="134">
        <f>IF(Q2=0, 0, Q8/Q6)</f>
        <v>1.3150785615063949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206</v>
      </c>
      <c r="P10" s="33"/>
      <c r="Q10" s="2">
        <f>M88</f>
        <v>224.77000000000044</v>
      </c>
      <c r="U10" t="s">
        <v>974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938</v>
      </c>
      <c r="Q12" s="1" t="s">
        <v>1158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965</v>
      </c>
      <c r="Q13" s="2">
        <f>Q4/(8.16*1.2)</f>
        <v>25.530014297385623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434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</row>
    <row r="15" spans="1:21" x14ac:dyDescent="0.25">
      <c r="A15" t="s">
        <v>960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434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ht="20.25" thickBot="1" x14ac:dyDescent="0.35">
      <c r="A16" t="s">
        <v>960</v>
      </c>
      <c r="B16" s="434">
        <v>43178</v>
      </c>
      <c r="C16" s="7">
        <v>5</v>
      </c>
      <c r="D16" s="43">
        <v>216.88</v>
      </c>
      <c r="E16" s="43">
        <v>0</v>
      </c>
      <c r="F16" s="43">
        <f t="shared" ref="F16:F22" si="3">C16*D16+E16</f>
        <v>1084.4000000000001</v>
      </c>
      <c r="G16" s="434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  <c r="O16" s="857" t="s">
        <v>78</v>
      </c>
      <c r="P16" s="857"/>
    </row>
    <row r="17" spans="1:21" ht="15.75" thickTop="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O17" s="81">
        <v>1.1000000000000001</v>
      </c>
      <c r="P17" s="81">
        <f>O17*$Q$4</f>
        <v>274.98889000000003</v>
      </c>
      <c r="T17" s="1">
        <v>43257</v>
      </c>
      <c r="U17" t="s">
        <v>1028</v>
      </c>
    </row>
    <row r="18" spans="1:21" x14ac:dyDescent="0.25">
      <c r="B18" s="434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O18" s="81">
        <v>1.0900000000000001</v>
      </c>
      <c r="P18" s="81">
        <f t="shared" ref="P18:P37" si="4">O18*$Q$4</f>
        <v>272.488991</v>
      </c>
    </row>
    <row r="19" spans="1:21" x14ac:dyDescent="0.25">
      <c r="B19" s="434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1">
        <v>1.08</v>
      </c>
      <c r="P19" s="81">
        <f t="shared" si="4"/>
        <v>269.98909200000003</v>
      </c>
      <c r="T19" s="1">
        <v>43285</v>
      </c>
      <c r="U19" t="s">
        <v>1159</v>
      </c>
    </row>
    <row r="20" spans="1:21" x14ac:dyDescent="0.25">
      <c r="B20" s="434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1.07</v>
      </c>
      <c r="P20" s="81">
        <f t="shared" si="4"/>
        <v>267.489193</v>
      </c>
      <c r="T20" s="1">
        <v>43288</v>
      </c>
      <c r="U20" t="s">
        <v>1186</v>
      </c>
    </row>
    <row r="21" spans="1:21" x14ac:dyDescent="0.25">
      <c r="B21" s="474">
        <v>43283</v>
      </c>
      <c r="C21" s="4">
        <v>15</v>
      </c>
      <c r="D21" s="3">
        <v>231</v>
      </c>
      <c r="E21" s="3">
        <v>0</v>
      </c>
      <c r="F21" s="3">
        <f t="shared" si="3"/>
        <v>3465</v>
      </c>
      <c r="O21" s="81">
        <v>1.06</v>
      </c>
      <c r="P21" s="81">
        <f t="shared" si="4"/>
        <v>264.98929400000003</v>
      </c>
    </row>
    <row r="22" spans="1:21" x14ac:dyDescent="0.25">
      <c r="B22" s="474">
        <v>43307</v>
      </c>
      <c r="C22" s="4">
        <v>15</v>
      </c>
      <c r="D22" s="3">
        <v>252.58</v>
      </c>
      <c r="E22" s="3">
        <v>0</v>
      </c>
      <c r="F22" s="3">
        <f t="shared" si="3"/>
        <v>3788.7000000000003</v>
      </c>
      <c r="O22" s="81">
        <v>1.05</v>
      </c>
      <c r="P22" s="81">
        <f t="shared" si="4"/>
        <v>262.489395</v>
      </c>
      <c r="T22" s="156">
        <v>43314</v>
      </c>
      <c r="U22" t="s">
        <v>1184</v>
      </c>
    </row>
    <row r="23" spans="1:21" x14ac:dyDescent="0.25">
      <c r="C23" s="4"/>
      <c r="D23" s="3"/>
      <c r="E23" s="3"/>
      <c r="F23" s="3"/>
      <c r="O23" s="81">
        <v>1.04</v>
      </c>
      <c r="P23" s="81">
        <f t="shared" si="4"/>
        <v>259.98949600000003</v>
      </c>
    </row>
    <row r="24" spans="1:21" x14ac:dyDescent="0.25">
      <c r="O24" s="81">
        <v>1.03</v>
      </c>
      <c r="P24" s="81">
        <f t="shared" si="4"/>
        <v>257.489597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1.02</v>
      </c>
      <c r="P25" s="81">
        <f t="shared" si="4"/>
        <v>254.989698</v>
      </c>
    </row>
    <row r="26" spans="1:21" x14ac:dyDescent="0.25">
      <c r="O26" s="81">
        <v>1.01</v>
      </c>
      <c r="P26" s="81">
        <f t="shared" si="4"/>
        <v>252.489799</v>
      </c>
    </row>
    <row r="27" spans="1:21" x14ac:dyDescent="0.25">
      <c r="C27" s="4"/>
      <c r="D27" s="3"/>
      <c r="E27" s="3"/>
      <c r="F27" s="3"/>
      <c r="O27" s="81">
        <v>1</v>
      </c>
      <c r="P27" s="81">
        <f t="shared" si="4"/>
        <v>249.98990000000001</v>
      </c>
    </row>
    <row r="28" spans="1:21" x14ac:dyDescent="0.25">
      <c r="O28" s="81">
        <v>0.99</v>
      </c>
      <c r="P28" s="81">
        <f t="shared" si="4"/>
        <v>247.49000100000001</v>
      </c>
    </row>
    <row r="29" spans="1:21" x14ac:dyDescent="0.25">
      <c r="A29" s="31" t="s">
        <v>81</v>
      </c>
      <c r="B29" s="14"/>
      <c r="C29" s="14">
        <f>SUM(C2:C27)</f>
        <v>370</v>
      </c>
      <c r="D29" s="18"/>
      <c r="E29" s="18"/>
      <c r="F29" s="18">
        <f>SUM(F2:F27)</f>
        <v>79397.3</v>
      </c>
      <c r="G29" s="14"/>
      <c r="H29" s="71">
        <f>SUM(H2:H28)</f>
        <v>340</v>
      </c>
      <c r="I29" s="18"/>
      <c r="J29" s="18"/>
      <c r="K29" s="18">
        <f>SUM(K2:K28)</f>
        <v>76157.799999999988</v>
      </c>
      <c r="L29" s="14"/>
      <c r="M29" s="18">
        <f>SUM(M2:M10)</f>
        <v>0</v>
      </c>
      <c r="O29" s="81">
        <v>0.98</v>
      </c>
      <c r="P29" s="81">
        <f t="shared" si="4"/>
        <v>244.99010200000001</v>
      </c>
    </row>
    <row r="30" spans="1:21" ht="15.75" thickBot="1" x14ac:dyDescent="0.3">
      <c r="A30" s="341" t="s">
        <v>193</v>
      </c>
      <c r="B30" s="342"/>
      <c r="C30" s="343">
        <f>SumByColor($A$30,C2:C28)</f>
        <v>340</v>
      </c>
      <c r="D30" s="343"/>
      <c r="E30" s="343"/>
      <c r="F30" s="344">
        <f>SumByColor($A$30,F2:F28)</f>
        <v>72143</v>
      </c>
      <c r="G30" s="343"/>
      <c r="H30" s="343">
        <f>SumByColor($A$30,H2:H28)</f>
        <v>340</v>
      </c>
      <c r="I30" s="343"/>
      <c r="J30" s="343"/>
      <c r="K30" s="344">
        <f>SumByColor($A$30,K2:K28)</f>
        <v>76158</v>
      </c>
      <c r="L30" s="343"/>
      <c r="M30" s="344">
        <f>SumByColor($A$30,M2:M28)</f>
        <v>0</v>
      </c>
      <c r="O30" s="81">
        <v>0.97</v>
      </c>
      <c r="P30" s="81">
        <f t="shared" si="4"/>
        <v>242.49020300000001</v>
      </c>
    </row>
    <row r="31" spans="1:21" x14ac:dyDescent="0.25">
      <c r="O31" s="81">
        <v>0.96</v>
      </c>
      <c r="P31" s="81">
        <f t="shared" si="4"/>
        <v>239.99030400000001</v>
      </c>
    </row>
    <row r="32" spans="1:21" x14ac:dyDescent="0.25">
      <c r="O32" s="81">
        <v>0.95</v>
      </c>
      <c r="P32" s="81">
        <f t="shared" si="4"/>
        <v>237.49040499999998</v>
      </c>
    </row>
    <row r="33" spans="1:17" x14ac:dyDescent="0.25">
      <c r="O33" s="81">
        <v>0.94</v>
      </c>
      <c r="P33" s="81">
        <f t="shared" si="4"/>
        <v>234.99050599999998</v>
      </c>
    </row>
    <row r="34" spans="1:17" x14ac:dyDescent="0.25">
      <c r="O34" s="81">
        <v>0.93</v>
      </c>
      <c r="P34" s="81">
        <f t="shared" si="4"/>
        <v>232.49060700000001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494</v>
      </c>
      <c r="L35" s="220" t="s">
        <v>965</v>
      </c>
      <c r="O35" s="81">
        <v>0.92</v>
      </c>
      <c r="P35" s="81">
        <f t="shared" si="4"/>
        <v>229.99070800000001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222">
        <f t="shared" ref="H36:H44" si="7">(E36-D36)/D36</f>
        <v>4.8911895203887702E-2</v>
      </c>
      <c r="I36" s="39"/>
      <c r="J36" s="39"/>
      <c r="K36" s="39"/>
      <c r="L36" s="39"/>
      <c r="O36" s="81">
        <v>0.91</v>
      </c>
      <c r="P36" s="81">
        <f t="shared" si="4"/>
        <v>227.49080900000001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222">
        <f t="shared" si="7"/>
        <v>6.8878090006338585E-2</v>
      </c>
      <c r="I37" s="39"/>
      <c r="J37" s="39"/>
      <c r="K37" s="39"/>
      <c r="L37" s="39"/>
      <c r="O37" s="81">
        <v>0.9</v>
      </c>
      <c r="P37" s="81">
        <f t="shared" si="4"/>
        <v>224.99091000000001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222">
        <f t="shared" si="7"/>
        <v>0.21291992393830553</v>
      </c>
      <c r="I38" s="39"/>
      <c r="J38" s="39">
        <f>F38+$M$88</f>
        <v>1434.0700000000006</v>
      </c>
      <c r="K38" s="39"/>
      <c r="L38" s="155"/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222">
        <f t="shared" si="7"/>
        <v>0.4857333353537498</v>
      </c>
      <c r="I39" s="39"/>
      <c r="J39" s="39">
        <f>F39+$M$88</f>
        <v>1827.5200000000009</v>
      </c>
      <c r="K39" s="39"/>
      <c r="L39" s="155"/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222">
        <f t="shared" si="7"/>
        <v>0.44233479308411516</v>
      </c>
      <c r="I40" s="39"/>
      <c r="J40" s="39">
        <f>F40+$M$88</f>
        <v>1684.3200000000008</v>
      </c>
      <c r="K40" s="39"/>
      <c r="L40" s="155"/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222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222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222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222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222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222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222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222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228">
        <v>55</v>
      </c>
      <c r="D49" s="22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222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222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222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222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222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222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222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222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222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222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228">
        <v>55</v>
      </c>
      <c r="D59" s="22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222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222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222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222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222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222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222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84">
        <v>43210</v>
      </c>
      <c r="C66" s="228">
        <v>55</v>
      </c>
      <c r="D66" s="22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222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222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84">
        <v>43210</v>
      </c>
      <c r="C68" s="228">
        <v>55</v>
      </c>
      <c r="D68" s="22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222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222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222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222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222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 t="shared" ref="F73:F78" si="19">C73*(E73-D73)</f>
        <v>3594.6000000000013</v>
      </c>
      <c r="G73" s="39">
        <f t="shared" si="17"/>
        <v>7027.65</v>
      </c>
      <c r="H73" s="222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84">
        <v>43283</v>
      </c>
      <c r="C74" s="10">
        <v>60</v>
      </c>
      <c r="D74" s="39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222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8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222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8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222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8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" si="20">D77*C77</f>
        <v>-549.15</v>
      </c>
      <c r="H77" s="222">
        <f t="shared" ref="H77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8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ref="G78" si="22">D78*C78</f>
        <v>3239.4989999999998</v>
      </c>
      <c r="H78" s="222">
        <f t="shared" ref="H78" si="23">(E78-D78)/D78</f>
        <v>1.3390653925190283</v>
      </c>
      <c r="I78" s="39"/>
      <c r="J78" s="39">
        <v>4563</v>
      </c>
      <c r="K78" s="39"/>
      <c r="L78" s="39"/>
    </row>
    <row r="79" spans="1:12" x14ac:dyDescent="0.25">
      <c r="A79" s="4"/>
      <c r="B79" s="184"/>
      <c r="C79" s="10"/>
      <c r="D79" s="39"/>
      <c r="E79" s="39"/>
      <c r="F79" s="39"/>
      <c r="G79" s="39"/>
      <c r="H79" s="222"/>
      <c r="I79" s="39"/>
      <c r="J79" s="39"/>
      <c r="K79" s="39"/>
      <c r="L79" s="39"/>
    </row>
    <row r="80" spans="1:12" x14ac:dyDescent="0.25">
      <c r="A80" s="4"/>
      <c r="B80" s="184"/>
      <c r="C80" s="10"/>
      <c r="D80" s="39"/>
      <c r="E80" s="39"/>
      <c r="F80" s="39"/>
      <c r="G80" s="39"/>
      <c r="H80" s="222"/>
      <c r="I80" s="39"/>
      <c r="J80" s="39"/>
      <c r="K80" s="39"/>
      <c r="L80" s="39"/>
    </row>
    <row r="81" spans="1:13" x14ac:dyDescent="0.25">
      <c r="A81" s="4"/>
      <c r="B81" s="184"/>
      <c r="C81" s="10"/>
      <c r="D81" s="39"/>
      <c r="E81" s="39"/>
      <c r="F81" s="39"/>
      <c r="G81" s="39"/>
      <c r="H81" s="222"/>
      <c r="I81" s="39"/>
      <c r="J81" s="39"/>
      <c r="K81" s="39"/>
      <c r="L81" s="39"/>
    </row>
    <row r="82" spans="1:13" x14ac:dyDescent="0.25">
      <c r="A82" s="4"/>
      <c r="B82" s="184"/>
      <c r="C82" s="10"/>
      <c r="D82" s="39"/>
      <c r="E82" s="39"/>
      <c r="F82" s="39"/>
      <c r="G82" s="39"/>
      <c r="H82" s="222"/>
      <c r="I82" s="39"/>
      <c r="J82" s="39"/>
      <c r="K82" s="39"/>
      <c r="L82" s="39"/>
    </row>
    <row r="83" spans="1:13" x14ac:dyDescent="0.25">
      <c r="A83" s="4"/>
      <c r="B83" s="184"/>
      <c r="C83" s="10"/>
      <c r="D83" s="39"/>
      <c r="E83" s="39"/>
      <c r="F83" s="39"/>
      <c r="G83" s="39"/>
      <c r="H83" s="222"/>
      <c r="I83" s="39"/>
      <c r="J83" s="39"/>
      <c r="K83" s="39"/>
      <c r="L83" s="39"/>
    </row>
    <row r="84" spans="1:13" x14ac:dyDescent="0.25">
      <c r="A84" s="4"/>
      <c r="B84" s="184"/>
      <c r="C84" s="10"/>
      <c r="D84" s="39"/>
      <c r="E84" s="39"/>
      <c r="F84" s="39"/>
      <c r="G84" s="39"/>
      <c r="H84" s="222"/>
      <c r="I84" s="39"/>
      <c r="J84" s="39"/>
      <c r="K84" s="39"/>
      <c r="L84" s="39"/>
    </row>
    <row r="85" spans="1:13" x14ac:dyDescent="0.25">
      <c r="A85" s="4"/>
      <c r="B85" s="184"/>
      <c r="C85" s="10"/>
      <c r="D85" s="39"/>
      <c r="E85" s="39"/>
      <c r="F85" s="39"/>
      <c r="G85" s="39"/>
      <c r="H85" s="222"/>
      <c r="I85" s="39"/>
      <c r="J85" s="39"/>
      <c r="K85" s="39"/>
      <c r="L85" s="39"/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39"/>
      <c r="J86" s="39"/>
      <c r="K86" s="39"/>
      <c r="L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563"/>
      <c r="B88" s="563"/>
      <c r="C88" s="563"/>
      <c r="D88" s="564"/>
      <c r="E88" s="564"/>
      <c r="F88" s="564"/>
      <c r="G88" s="563"/>
      <c r="H88" s="563"/>
      <c r="I88" s="564"/>
      <c r="J88" s="564"/>
      <c r="K88" s="564"/>
      <c r="L88" s="563" t="s">
        <v>65</v>
      </c>
      <c r="M88" s="564">
        <f>M106+K106-F106</f>
        <v>224.77000000000044</v>
      </c>
    </row>
    <row r="89" spans="1:13" x14ac:dyDescent="0.25">
      <c r="A89" s="685" t="s">
        <v>1</v>
      </c>
      <c r="B89" s="685" t="s">
        <v>2</v>
      </c>
      <c r="C89" s="685" t="s">
        <v>4</v>
      </c>
      <c r="D89" s="686" t="s">
        <v>5</v>
      </c>
      <c r="E89" s="686" t="s">
        <v>94</v>
      </c>
      <c r="F89" s="686" t="s">
        <v>60</v>
      </c>
      <c r="G89" s="685" t="s">
        <v>3</v>
      </c>
      <c r="H89" s="685" t="s">
        <v>6</v>
      </c>
      <c r="I89" s="686" t="s">
        <v>7</v>
      </c>
      <c r="J89" s="686" t="s">
        <v>95</v>
      </c>
      <c r="K89" s="686" t="s">
        <v>61</v>
      </c>
      <c r="L89" s="685" t="s">
        <v>37</v>
      </c>
      <c r="M89" s="685" t="s">
        <v>38</v>
      </c>
    </row>
    <row r="90" spans="1:13" x14ac:dyDescent="0.25">
      <c r="A90" s="687" t="s">
        <v>687</v>
      </c>
      <c r="B90" s="566">
        <v>42972</v>
      </c>
      <c r="C90" s="563">
        <v>15</v>
      </c>
      <c r="D90" s="564">
        <v>210.01</v>
      </c>
      <c r="E90" s="564">
        <v>0</v>
      </c>
      <c r="F90" s="564">
        <f>C90*D90+E90</f>
        <v>3150.1499999999996</v>
      </c>
      <c r="G90" s="566">
        <v>43005</v>
      </c>
      <c r="H90" s="563">
        <v>15</v>
      </c>
      <c r="I90" s="564">
        <v>225</v>
      </c>
      <c r="J90" s="564">
        <v>0.08</v>
      </c>
      <c r="K90" s="564">
        <f>H90*I90-J90</f>
        <v>3374.92</v>
      </c>
      <c r="L90" s="566"/>
      <c r="M90" s="564"/>
    </row>
    <row r="91" spans="1:13" x14ac:dyDescent="0.25">
      <c r="A91" s="688"/>
      <c r="B91" s="566"/>
      <c r="C91" s="563"/>
      <c r="D91" s="564"/>
      <c r="E91" s="564"/>
      <c r="F91" s="564"/>
      <c r="G91" s="566"/>
      <c r="H91" s="565"/>
      <c r="I91" s="564"/>
      <c r="J91" s="564"/>
      <c r="K91" s="564"/>
      <c r="L91" s="563"/>
      <c r="M91" s="563"/>
    </row>
    <row r="92" spans="1:13" x14ac:dyDescent="0.25">
      <c r="A92" s="563"/>
      <c r="B92" s="566"/>
      <c r="C92" s="563"/>
      <c r="D92" s="564"/>
      <c r="E92" s="564"/>
      <c r="F92" s="564"/>
      <c r="G92" s="566"/>
      <c r="H92" s="565"/>
      <c r="I92" s="564"/>
      <c r="J92" s="564"/>
      <c r="K92" s="564"/>
      <c r="L92" s="563"/>
      <c r="M92" s="563"/>
    </row>
    <row r="93" spans="1:13" x14ac:dyDescent="0.25">
      <c r="A93" s="563"/>
      <c r="B93" s="566"/>
      <c r="C93" s="563"/>
      <c r="D93" s="564"/>
      <c r="E93" s="564"/>
      <c r="F93" s="564"/>
      <c r="G93" s="563"/>
      <c r="H93" s="565"/>
      <c r="I93" s="564"/>
      <c r="J93" s="564"/>
      <c r="K93" s="564"/>
      <c r="L93" s="563"/>
      <c r="M93" s="563"/>
    </row>
    <row r="94" spans="1:13" x14ac:dyDescent="0.25">
      <c r="A94" s="563"/>
      <c r="B94" s="566"/>
      <c r="C94" s="563"/>
      <c r="D94" s="564"/>
      <c r="E94" s="564"/>
      <c r="F94" s="564"/>
      <c r="G94" s="563"/>
      <c r="H94" s="565"/>
      <c r="I94" s="564"/>
      <c r="J94" s="564"/>
      <c r="K94" s="564"/>
      <c r="L94" s="563"/>
      <c r="M94" s="563"/>
    </row>
    <row r="95" spans="1:13" x14ac:dyDescent="0.25">
      <c r="A95" s="563"/>
      <c r="B95" s="563"/>
      <c r="C95" s="563"/>
      <c r="D95" s="564"/>
      <c r="E95" s="564"/>
      <c r="F95" s="564"/>
      <c r="G95" s="563"/>
      <c r="H95" s="565"/>
      <c r="I95" s="564"/>
      <c r="J95" s="564"/>
      <c r="K95" s="564"/>
      <c r="L95" s="563"/>
      <c r="M95" s="563"/>
    </row>
    <row r="96" spans="1:13" x14ac:dyDescent="0.25">
      <c r="A96" s="563"/>
      <c r="B96" s="563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3"/>
      <c r="C97" s="563"/>
      <c r="D97" s="564"/>
      <c r="E97" s="564"/>
      <c r="F97" s="564"/>
      <c r="G97" s="563"/>
      <c r="H97" s="565"/>
      <c r="I97" s="564"/>
      <c r="J97" s="564"/>
      <c r="K97" s="564"/>
      <c r="L97" s="563"/>
      <c r="M97" s="563"/>
    </row>
    <row r="98" spans="1:13" x14ac:dyDescent="0.25">
      <c r="A98" s="563"/>
      <c r="B98" s="563"/>
      <c r="C98" s="563"/>
      <c r="D98" s="564"/>
      <c r="E98" s="564"/>
      <c r="F98" s="564"/>
      <c r="G98" s="563"/>
      <c r="H98" s="565"/>
      <c r="I98" s="564"/>
      <c r="J98" s="564"/>
      <c r="K98" s="564"/>
      <c r="L98" s="563"/>
      <c r="M98" s="563"/>
    </row>
    <row r="99" spans="1:13" x14ac:dyDescent="0.25">
      <c r="A99" s="563"/>
      <c r="B99" s="563"/>
      <c r="C99" s="563"/>
      <c r="D99" s="564"/>
      <c r="E99" s="564"/>
      <c r="F99" s="564"/>
      <c r="G99" s="563"/>
      <c r="H99" s="565"/>
      <c r="I99" s="564"/>
      <c r="J99" s="564"/>
      <c r="K99" s="564"/>
      <c r="L99" s="563"/>
      <c r="M99" s="563"/>
    </row>
    <row r="100" spans="1:13" x14ac:dyDescent="0.25">
      <c r="A100" s="563"/>
      <c r="B100" s="563"/>
      <c r="C100" s="563"/>
      <c r="D100" s="564"/>
      <c r="E100" s="564"/>
      <c r="F100" s="564"/>
      <c r="G100" s="563"/>
      <c r="H100" s="565"/>
      <c r="I100" s="564"/>
      <c r="J100" s="564"/>
      <c r="K100" s="564"/>
      <c r="L100" s="563"/>
      <c r="M100" s="563"/>
    </row>
    <row r="101" spans="1:13" x14ac:dyDescent="0.25">
      <c r="A101" s="563"/>
      <c r="B101" s="563"/>
      <c r="C101" s="563"/>
      <c r="D101" s="564"/>
      <c r="E101" s="564"/>
      <c r="F101" s="564"/>
      <c r="G101" s="563"/>
      <c r="H101" s="565"/>
      <c r="I101" s="564"/>
      <c r="J101" s="564"/>
      <c r="K101" s="564"/>
      <c r="L101" s="563"/>
      <c r="M101" s="563"/>
    </row>
    <row r="102" spans="1:13" x14ac:dyDescent="0.25">
      <c r="A102" s="563"/>
      <c r="B102" s="563"/>
      <c r="C102" s="563"/>
      <c r="D102" s="564"/>
      <c r="E102" s="564"/>
      <c r="F102" s="564"/>
      <c r="G102" s="563"/>
      <c r="H102" s="565"/>
      <c r="I102" s="564"/>
      <c r="J102" s="564"/>
      <c r="K102" s="564"/>
      <c r="L102" s="563"/>
      <c r="M102" s="563"/>
    </row>
    <row r="103" spans="1:13" x14ac:dyDescent="0.25">
      <c r="A103" s="563"/>
      <c r="B103" s="563"/>
      <c r="C103" s="563"/>
      <c r="D103" s="564"/>
      <c r="E103" s="564"/>
      <c r="F103" s="564"/>
      <c r="G103" s="563"/>
      <c r="H103" s="565"/>
      <c r="I103" s="564"/>
      <c r="J103" s="564"/>
      <c r="K103" s="564"/>
      <c r="L103" s="563"/>
      <c r="M103" s="563"/>
    </row>
    <row r="104" spans="1:13" x14ac:dyDescent="0.25">
      <c r="A104" s="563"/>
      <c r="B104" s="563"/>
      <c r="C104" s="563"/>
      <c r="D104" s="564"/>
      <c r="E104" s="564"/>
      <c r="F104" s="564"/>
      <c r="G104" s="563"/>
      <c r="H104" s="565"/>
      <c r="I104" s="564"/>
      <c r="J104" s="564"/>
      <c r="K104" s="564"/>
      <c r="L104" s="563"/>
      <c r="M104" s="563"/>
    </row>
    <row r="105" spans="1:13" x14ac:dyDescent="0.25">
      <c r="A105" s="563"/>
      <c r="B105" s="563"/>
      <c r="C105" s="563"/>
      <c r="D105" s="564"/>
      <c r="E105" s="564"/>
      <c r="F105" s="564"/>
      <c r="G105" s="563"/>
      <c r="H105" s="563"/>
      <c r="I105" s="564"/>
      <c r="J105" s="564"/>
      <c r="K105" s="564"/>
      <c r="L105" s="563"/>
      <c r="M105" s="563"/>
    </row>
    <row r="106" spans="1:13" x14ac:dyDescent="0.25">
      <c r="A106" s="689" t="s">
        <v>81</v>
      </c>
      <c r="B106" s="690"/>
      <c r="C106" s="690">
        <f>SUM(C90:C94)</f>
        <v>15</v>
      </c>
      <c r="D106" s="691"/>
      <c r="E106" s="691"/>
      <c r="F106" s="691">
        <f>SUM(F90:F94)</f>
        <v>3150.1499999999996</v>
      </c>
      <c r="G106" s="690"/>
      <c r="H106" s="692">
        <f>SUM(H90:H93)</f>
        <v>15</v>
      </c>
      <c r="I106" s="691"/>
      <c r="J106" s="691"/>
      <c r="K106" s="691">
        <f>SUM(K90:K93)</f>
        <v>3374.92</v>
      </c>
      <c r="L106" s="690"/>
      <c r="M106" s="691">
        <f>SUM(M90:M98)</f>
        <v>0</v>
      </c>
    </row>
    <row r="107" spans="1:13" ht="15.75" thickBot="1" x14ac:dyDescent="0.3">
      <c r="A107" s="693" t="s">
        <v>193</v>
      </c>
      <c r="B107" s="725"/>
      <c r="C107" s="694">
        <f>SumByColor($A$30,C90:C105)</f>
        <v>0</v>
      </c>
      <c r="D107" s="694"/>
      <c r="E107" s="694"/>
      <c r="F107" s="695">
        <f>SumByColor($A$30,F90:F105)</f>
        <v>0</v>
      </c>
      <c r="G107" s="694"/>
      <c r="H107" s="694">
        <f>SumByColor($A$30,H90:H105)</f>
        <v>0</v>
      </c>
      <c r="I107" s="694"/>
      <c r="J107" s="694"/>
      <c r="K107" s="695">
        <f>SumByColor($A$30,K91:K105)</f>
        <v>0</v>
      </c>
      <c r="L107" s="694"/>
      <c r="M107" s="695">
        <f>SumByColor($A$30,M90:M105)</f>
        <v>0</v>
      </c>
    </row>
    <row r="110" spans="1:13" x14ac:dyDescent="0.25">
      <c r="B110" s="182" t="s">
        <v>113</v>
      </c>
      <c r="C110" s="182" t="s">
        <v>146</v>
      </c>
      <c r="D110" s="183" t="s">
        <v>145</v>
      </c>
      <c r="E110" s="185" t="s">
        <v>147</v>
      </c>
      <c r="F110" s="185" t="s">
        <v>65</v>
      </c>
      <c r="G110" s="220" t="s">
        <v>151</v>
      </c>
      <c r="H110" s="220" t="s">
        <v>88</v>
      </c>
      <c r="I110" s="220" t="s">
        <v>154</v>
      </c>
      <c r="J110" s="220" t="s">
        <v>150</v>
      </c>
      <c r="K110" s="220" t="s">
        <v>662</v>
      </c>
      <c r="L110" s="220" t="s">
        <v>668</v>
      </c>
    </row>
    <row r="111" spans="1:13" x14ac:dyDescent="0.25">
      <c r="B111" s="184">
        <v>42972</v>
      </c>
      <c r="C111" s="10">
        <v>15</v>
      </c>
      <c r="D111" s="39">
        <v>210.01</v>
      </c>
      <c r="E111" s="39">
        <v>212.36</v>
      </c>
      <c r="F111" s="39">
        <f>C111*(E111-D111)</f>
        <v>35.250000000000341</v>
      </c>
      <c r="G111" s="39">
        <f>D111*C111</f>
        <v>3150.1499999999996</v>
      </c>
      <c r="H111" s="222">
        <f>(E111-D111)/D111</f>
        <v>1.1189943336031726E-2</v>
      </c>
      <c r="I111" s="39"/>
      <c r="J111" s="39"/>
      <c r="K111" s="39"/>
      <c r="L111" s="39"/>
    </row>
    <row r="112" spans="1:13" x14ac:dyDescent="0.25">
      <c r="B112" s="184">
        <v>42983</v>
      </c>
      <c r="C112" s="10">
        <v>15</v>
      </c>
      <c r="D112" s="39">
        <v>210.01</v>
      </c>
      <c r="E112" s="39">
        <v>223.9</v>
      </c>
      <c r="F112" s="39">
        <f>C112*(E112-D112)</f>
        <v>208.35000000000022</v>
      </c>
      <c r="G112" s="39">
        <f>D112*C112</f>
        <v>3150.1499999999996</v>
      </c>
      <c r="H112" s="222">
        <f>(E112-D112)/D112</f>
        <v>6.6139707632969932E-2</v>
      </c>
      <c r="I112" s="39"/>
      <c r="J112" s="39"/>
      <c r="K112" s="39"/>
      <c r="L112" s="39"/>
    </row>
    <row r="113" spans="2:12" x14ac:dyDescent="0.25">
      <c r="B113" s="184">
        <v>43005</v>
      </c>
      <c r="C113" s="10">
        <v>0</v>
      </c>
      <c r="D113" s="39"/>
      <c r="E113" s="39"/>
      <c r="F113" s="39">
        <v>224.77</v>
      </c>
      <c r="G113" s="39"/>
      <c r="H113" s="222"/>
      <c r="I113" s="39"/>
      <c r="J113" s="39"/>
      <c r="K113" s="39"/>
      <c r="L113" s="155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155"/>
    </row>
    <row r="115" spans="2:12" x14ac:dyDescent="0.25">
      <c r="B115" s="184"/>
      <c r="C115" s="10"/>
      <c r="D115" s="39"/>
      <c r="E115" s="39"/>
      <c r="F115" s="39"/>
      <c r="G115" s="39"/>
      <c r="H115" s="222"/>
      <c r="I115" s="39"/>
      <c r="J115" s="39"/>
      <c r="K115" s="39"/>
      <c r="L115" s="155"/>
    </row>
    <row r="116" spans="2:12" x14ac:dyDescent="0.25">
      <c r="B116" s="184"/>
      <c r="C116" s="10"/>
      <c r="D116" s="39"/>
      <c r="E116" s="39"/>
      <c r="F116" s="39"/>
      <c r="G116" s="39"/>
      <c r="H116" s="222"/>
      <c r="I116" s="39"/>
      <c r="J116" s="39"/>
      <c r="K116" s="39"/>
      <c r="L116" s="155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155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155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155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155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155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39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39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39"/>
    </row>
    <row r="125" spans="2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2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2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2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0" spans="2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2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2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F83:F86 H83:H86 J83:J86">
    <cfRule type="expression" dxfId="1770" priority="45">
      <formula>F7&gt;0</formula>
    </cfRule>
    <cfRule type="expression" dxfId="1769" priority="46">
      <formula>F7&lt;0</formula>
    </cfRule>
  </conditionalFormatting>
  <conditionalFormatting sqref="Q8">
    <cfRule type="expression" dxfId="1768" priority="43">
      <formula>Q8&gt;0</formula>
    </cfRule>
    <cfRule type="expression" dxfId="1767" priority="44">
      <formula>Q8&lt;0</formula>
    </cfRule>
  </conditionalFormatting>
  <conditionalFormatting sqref="F41:F60">
    <cfRule type="expression" dxfId="1766" priority="41">
      <formula>F41&gt;0</formula>
    </cfRule>
    <cfRule type="expression" dxfId="1765" priority="42">
      <formula>F41&lt;0</formula>
    </cfRule>
  </conditionalFormatting>
  <conditionalFormatting sqref="H41:H60">
    <cfRule type="expression" dxfId="1764" priority="39">
      <formula>H41&gt;0</formula>
    </cfRule>
    <cfRule type="expression" dxfId="1763" priority="40">
      <formula>H41&lt;0</formula>
    </cfRule>
  </conditionalFormatting>
  <conditionalFormatting sqref="Q10">
    <cfRule type="expression" dxfId="1762" priority="33">
      <formula>Q10&gt;0</formula>
    </cfRule>
    <cfRule type="expression" dxfId="1761" priority="34">
      <formula>Q10&lt;0</formula>
    </cfRule>
  </conditionalFormatting>
  <conditionalFormatting sqref="J36:J60">
    <cfRule type="expression" dxfId="1760" priority="31">
      <formula>J36&gt;0</formula>
    </cfRule>
    <cfRule type="expression" dxfId="1759" priority="32">
      <formula>J36&lt;0</formula>
    </cfRule>
  </conditionalFormatting>
  <conditionalFormatting sqref="K36:K49">
    <cfRule type="expression" dxfId="1758" priority="29">
      <formula>K36&gt;0</formula>
    </cfRule>
    <cfRule type="expression" dxfId="1757" priority="30">
      <formula>K36&lt;0</formula>
    </cfRule>
  </conditionalFormatting>
  <conditionalFormatting sqref="L36:L49">
    <cfRule type="expression" dxfId="1756" priority="27">
      <formula>L36&gt;0</formula>
    </cfRule>
    <cfRule type="expression" dxfId="1755" priority="28">
      <formula>L36&lt;0</formula>
    </cfRule>
  </conditionalFormatting>
  <conditionalFormatting sqref="F111:F132">
    <cfRule type="expression" dxfId="1754" priority="25">
      <formula>F111&gt;0</formula>
    </cfRule>
    <cfRule type="expression" dxfId="1753" priority="26">
      <formula>F111&lt;0</formula>
    </cfRule>
  </conditionalFormatting>
  <conditionalFormatting sqref="H111:H132">
    <cfRule type="expression" dxfId="1752" priority="23">
      <formula>H111&gt;0</formula>
    </cfRule>
    <cfRule type="expression" dxfId="1751" priority="24">
      <formula>H111&lt;0</formula>
    </cfRule>
  </conditionalFormatting>
  <conditionalFormatting sqref="J111:J124">
    <cfRule type="expression" dxfId="1750" priority="21">
      <formula>J111&gt;0</formula>
    </cfRule>
    <cfRule type="expression" dxfId="1749" priority="22">
      <formula>J111&lt;0</formula>
    </cfRule>
  </conditionalFormatting>
  <conditionalFormatting sqref="K111:K124">
    <cfRule type="expression" dxfId="1748" priority="19">
      <formula>K111&gt;0</formula>
    </cfRule>
    <cfRule type="expression" dxfId="1747" priority="20">
      <formula>K111&lt;0</formula>
    </cfRule>
  </conditionalFormatting>
  <conditionalFormatting sqref="L111:L124">
    <cfRule type="expression" dxfId="1746" priority="17">
      <formula>L111&gt;0</formula>
    </cfRule>
    <cfRule type="expression" dxfId="1745" priority="18">
      <formula>L111&lt;0</formula>
    </cfRule>
  </conditionalFormatting>
  <conditionalFormatting sqref="F36:F40">
    <cfRule type="expression" dxfId="1744" priority="15">
      <formula>F36&gt;0</formula>
    </cfRule>
    <cfRule type="expression" dxfId="1743" priority="16">
      <formula>F36&lt;0</formula>
    </cfRule>
  </conditionalFormatting>
  <conditionalFormatting sqref="H36:H40">
    <cfRule type="expression" dxfId="1742" priority="13">
      <formula>H36&gt;0</formula>
    </cfRule>
    <cfRule type="expression" dxfId="1741" priority="14">
      <formula>H36&lt;0</formula>
    </cfRule>
  </conditionalFormatting>
  <conditionalFormatting sqref="F61:F62">
    <cfRule type="expression" dxfId="1740" priority="11">
      <formula>F61&gt;0</formula>
    </cfRule>
    <cfRule type="expression" dxfId="1739" priority="12">
      <formula>F61&lt;0</formula>
    </cfRule>
  </conditionalFormatting>
  <conditionalFormatting sqref="H61:H62">
    <cfRule type="expression" dxfId="1738" priority="9">
      <formula>H61&gt;0</formula>
    </cfRule>
    <cfRule type="expression" dxfId="1737" priority="10">
      <formula>H61&lt;0</formula>
    </cfRule>
  </conditionalFormatting>
  <conditionalFormatting sqref="J61:J62">
    <cfRule type="expression" dxfId="1736" priority="7">
      <formula>J61&gt;0</formula>
    </cfRule>
    <cfRule type="expression" dxfId="1735" priority="8">
      <formula>J61&lt;0</formula>
    </cfRule>
  </conditionalFormatting>
  <conditionalFormatting sqref="J74:J75 H74:H75 F74:F75">
    <cfRule type="expression" dxfId="1734" priority="5">
      <formula>F74&gt;0</formula>
    </cfRule>
    <cfRule type="expression" dxfId="1733" priority="6">
      <formula>F74&lt;0</formula>
    </cfRule>
  </conditionalFormatting>
  <conditionalFormatting sqref="F79:F82 H79:H82 J79:J82">
    <cfRule type="expression" dxfId="1732" priority="1">
      <formula>F79&gt;0</formula>
    </cfRule>
    <cfRule type="expression" dxfId="1731" priority="2">
      <formula>F79&lt;0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820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0</v>
      </c>
      <c r="T2" s="1">
        <v>43119</v>
      </c>
      <c r="U2" t="s">
        <v>895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99.29</v>
      </c>
      <c r="T3" s="1"/>
      <c r="U3" t="s">
        <v>896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99.29</v>
      </c>
      <c r="R4" s="495">
        <v>-2.07E-2</v>
      </c>
      <c r="T4" s="1"/>
      <c r="U4" t="s">
        <v>897</v>
      </c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U6" t="s">
        <v>898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604.30000000000109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604.30000000000109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T9" s="1">
        <v>43203</v>
      </c>
      <c r="U9" t="s">
        <v>996</v>
      </c>
      <c r="W9" s="134"/>
    </row>
    <row r="10" spans="1:23" x14ac:dyDescent="0.25">
      <c r="H10" s="70"/>
      <c r="O10" s="11" t="s">
        <v>206</v>
      </c>
      <c r="P10" s="33"/>
      <c r="Q10" s="2">
        <f>M66</f>
        <v>0</v>
      </c>
      <c r="U10" t="s">
        <v>995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6.8486252391983084E-3</v>
      </c>
      <c r="R11">
        <v>0.17</v>
      </c>
      <c r="W11" s="134"/>
    </row>
    <row r="12" spans="1:23" x14ac:dyDescent="0.25">
      <c r="H12" s="70"/>
      <c r="O12" s="11" t="s">
        <v>987</v>
      </c>
      <c r="Q12" s="1" t="s">
        <v>1114</v>
      </c>
      <c r="W12" s="134"/>
    </row>
    <row r="13" spans="1:23" x14ac:dyDescent="0.25">
      <c r="H13" s="70"/>
      <c r="O13" s="11" t="s">
        <v>965</v>
      </c>
      <c r="Q13">
        <f>Q4/4.75</f>
        <v>20.903157894736843</v>
      </c>
      <c r="W13" s="134"/>
    </row>
    <row r="14" spans="1:23" x14ac:dyDescent="0.25">
      <c r="H14" s="70"/>
      <c r="T14" s="1">
        <v>43294</v>
      </c>
      <c r="U14" t="s">
        <v>1193</v>
      </c>
      <c r="W14" s="134"/>
    </row>
    <row r="15" spans="1:23" ht="20.25" thickBot="1" x14ac:dyDescent="0.35">
      <c r="H15" s="70"/>
      <c r="O15" s="857" t="s">
        <v>78</v>
      </c>
      <c r="P15" s="857"/>
      <c r="W15" s="134"/>
    </row>
    <row r="16" spans="1:23" ht="15.75" thickTop="1" x14ac:dyDescent="0.25">
      <c r="H16" s="70"/>
      <c r="O16" s="81">
        <v>1.1000000000000001</v>
      </c>
      <c r="P16" s="81">
        <f>O16*$Q$4</f>
        <v>109.21900000000002</v>
      </c>
      <c r="W16" s="134"/>
    </row>
    <row r="17" spans="1:23" x14ac:dyDescent="0.25">
      <c r="O17" s="81">
        <v>1.0900000000000001</v>
      </c>
      <c r="P17" s="81">
        <f t="shared" ref="P17:P36" si="0">O17*$Q$4</f>
        <v>108.22610000000002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1">
        <v>1.08</v>
      </c>
      <c r="P18" s="81">
        <f t="shared" si="0"/>
        <v>107.23320000000001</v>
      </c>
      <c r="W18" s="134"/>
    </row>
    <row r="19" spans="1:23" ht="15.75" thickBot="1" x14ac:dyDescent="0.3">
      <c r="A19" s="341" t="s">
        <v>193</v>
      </c>
      <c r="B19" s="342"/>
      <c r="C19" s="343">
        <f>SumByColor($A$19,C3:C17)</f>
        <v>60</v>
      </c>
      <c r="D19" s="343"/>
      <c r="E19" s="343"/>
      <c r="F19" s="344">
        <f>SumByColor($A$19,F3:F17)</f>
        <v>5526</v>
      </c>
      <c r="G19" s="343"/>
      <c r="H19" s="343">
        <f>SumByColor($A$19,H2:H17)</f>
        <v>90</v>
      </c>
      <c r="I19" s="343"/>
      <c r="J19" s="343"/>
      <c r="K19" s="344">
        <f>SumByColor($A$19,K3:K17)</f>
        <v>5946</v>
      </c>
      <c r="L19" s="343"/>
      <c r="M19" s="344">
        <f>SumByColor($A$19,M2:M17)</f>
        <v>15</v>
      </c>
      <c r="O19" s="81">
        <v>1.07</v>
      </c>
      <c r="P19" s="81">
        <f t="shared" si="0"/>
        <v>106.24030000000002</v>
      </c>
      <c r="W19" s="134"/>
    </row>
    <row r="20" spans="1:23" x14ac:dyDescent="0.25">
      <c r="O20" s="81">
        <v>1.06</v>
      </c>
      <c r="P20" s="81">
        <f t="shared" si="0"/>
        <v>105.24740000000001</v>
      </c>
      <c r="W20" s="134"/>
    </row>
    <row r="21" spans="1:23" x14ac:dyDescent="0.25">
      <c r="O21" s="81">
        <v>1.05</v>
      </c>
      <c r="P21" s="81">
        <f t="shared" si="0"/>
        <v>104.25450000000001</v>
      </c>
      <c r="W21" s="134"/>
    </row>
    <row r="22" spans="1:23" x14ac:dyDescent="0.25">
      <c r="O22" s="81">
        <v>1.04</v>
      </c>
      <c r="P22" s="81">
        <f t="shared" si="0"/>
        <v>103.26160000000002</v>
      </c>
      <c r="W22" s="134"/>
    </row>
    <row r="23" spans="1:23" x14ac:dyDescent="0.25">
      <c r="O23" s="81">
        <v>1.03</v>
      </c>
      <c r="P23" s="81">
        <f t="shared" si="0"/>
        <v>102.26870000000001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494</v>
      </c>
      <c r="K24" s="220"/>
      <c r="L24" s="220" t="s">
        <v>965</v>
      </c>
      <c r="O24" s="81">
        <v>1.02</v>
      </c>
      <c r="P24" s="81">
        <f t="shared" si="0"/>
        <v>101.2758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6" si="2">D25*C25</f>
        <v>2555.4</v>
      </c>
      <c r="H25" s="222">
        <f t="shared" ref="H25:H36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100.28290000000001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222">
        <f t="shared" si="3"/>
        <v>3.4749941300774752E-2</v>
      </c>
      <c r="I26" s="39"/>
      <c r="J26" s="39"/>
      <c r="K26" s="39"/>
      <c r="L26" s="39"/>
      <c r="O26" s="81">
        <v>1</v>
      </c>
      <c r="P26" s="81">
        <f t="shared" si="0"/>
        <v>99.29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222">
        <f t="shared" si="3"/>
        <v>1.1704716653146261E-2</v>
      </c>
      <c r="I27" s="39">
        <v>85.5</v>
      </c>
      <c r="J27" s="39"/>
      <c r="K27" s="39"/>
      <c r="L27" s="39"/>
      <c r="O27" s="81">
        <v>0.99</v>
      </c>
      <c r="P27" s="81">
        <f t="shared" si="0"/>
        <v>98.2971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222">
        <f t="shared" si="3"/>
        <v>2.445242785954339E-2</v>
      </c>
      <c r="I28" s="39"/>
      <c r="J28" s="39"/>
      <c r="K28" s="39"/>
      <c r="L28" s="39"/>
      <c r="O28" s="81">
        <v>0.98</v>
      </c>
      <c r="P28" s="81">
        <f t="shared" si="0"/>
        <v>97.304200000000009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222">
        <f t="shared" si="3"/>
        <v>4.0176497909893097E-2</v>
      </c>
      <c r="I29" s="39"/>
      <c r="J29" s="39"/>
      <c r="K29" s="39" t="s">
        <v>185</v>
      </c>
      <c r="L29" s="39"/>
      <c r="O29" s="81">
        <v>0.97</v>
      </c>
      <c r="P29" s="81">
        <f t="shared" si="0"/>
        <v>96.311300000000003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222">
        <f t="shared" si="3"/>
        <v>0.14335416711376606</v>
      </c>
      <c r="I30" s="39"/>
      <c r="J30" s="39"/>
      <c r="K30" s="39"/>
      <c r="L30" s="39"/>
      <c r="O30" s="81">
        <v>0.96</v>
      </c>
      <c r="P30" s="81">
        <f t="shared" si="0"/>
        <v>95.318399999999997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222">
        <f t="shared" si="3"/>
        <v>0.22326398137709999</v>
      </c>
      <c r="I31" s="39"/>
      <c r="J31" s="39"/>
      <c r="K31" s="39"/>
      <c r="L31" s="39"/>
      <c r="O31" s="81">
        <v>0.95</v>
      </c>
      <c r="P31" s="81">
        <f t="shared" si="0"/>
        <v>94.325500000000005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222">
        <f t="shared" si="3"/>
        <v>0.15938662589961675</v>
      </c>
      <c r="I32" s="39"/>
      <c r="J32" s="39"/>
      <c r="K32" s="39"/>
      <c r="L32" s="39"/>
      <c r="O32" s="81">
        <v>0.94</v>
      </c>
      <c r="P32" s="81">
        <f t="shared" si="0"/>
        <v>93.332599999999999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222">
        <f t="shared" si="3"/>
        <v>0.14120808995345552</v>
      </c>
      <c r="I33" s="39"/>
      <c r="J33" s="39"/>
      <c r="K33" s="39"/>
      <c r="L33" s="39"/>
      <c r="O33" s="81">
        <v>0.93</v>
      </c>
      <c r="P33" s="81">
        <f t="shared" si="0"/>
        <v>92.339700000000008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222">
        <f t="shared" si="3"/>
        <v>0.19788977495224988</v>
      </c>
      <c r="I34" s="39"/>
      <c r="J34" s="39"/>
      <c r="K34" s="39"/>
      <c r="L34" s="39">
        <v>19.98</v>
      </c>
      <c r="O34" s="81">
        <v>0.92</v>
      </c>
      <c r="P34" s="81">
        <f t="shared" si="0"/>
        <v>91.346800000000016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222">
        <f t="shared" si="3"/>
        <v>0.23146957051946435</v>
      </c>
      <c r="I35" s="39"/>
      <c r="J35" s="39"/>
      <c r="K35" s="39"/>
      <c r="L35" s="39">
        <v>20.54</v>
      </c>
      <c r="O35" s="81">
        <v>0.91</v>
      </c>
      <c r="P35" s="81">
        <f t="shared" si="0"/>
        <v>90.35390000000001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222">
        <f t="shared" si="3"/>
        <v>0.23262937737159689</v>
      </c>
      <c r="I36" s="39"/>
      <c r="J36" s="39"/>
      <c r="K36" s="39"/>
      <c r="L36" s="39">
        <v>20.51</v>
      </c>
      <c r="O36" s="81">
        <v>0.9</v>
      </c>
      <c r="P36" s="81">
        <f t="shared" si="0"/>
        <v>89.361000000000004</v>
      </c>
      <c r="W36" s="134"/>
    </row>
    <row r="37" spans="1:23" x14ac:dyDescent="0.25">
      <c r="B37" s="184">
        <v>43236</v>
      </c>
      <c r="C37" s="10">
        <v>0</v>
      </c>
      <c r="D37" s="39"/>
      <c r="E37" s="39">
        <v>99.12</v>
      </c>
      <c r="F37" s="39">
        <v>604.29999999999995</v>
      </c>
      <c r="G37" s="39"/>
      <c r="H37" s="222"/>
      <c r="I37" s="39"/>
      <c r="J37" s="39"/>
      <c r="K37" s="39"/>
      <c r="L37" s="39">
        <v>20.87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820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730" priority="21">
      <formula>F47&gt;0</formula>
    </cfRule>
    <cfRule type="expression" dxfId="1729" priority="22">
      <formula>F47&lt;0</formula>
    </cfRule>
  </conditionalFormatting>
  <conditionalFormatting sqref="Q7">
    <cfRule type="expression" dxfId="1728" priority="19">
      <formula>Q7&gt;0</formula>
    </cfRule>
    <cfRule type="expression" dxfId="1727" priority="20">
      <formula>Q7&lt;0</formula>
    </cfRule>
  </conditionalFormatting>
  <conditionalFormatting sqref="Q8">
    <cfRule type="expression" dxfId="1726" priority="17">
      <formula>Q8&gt;0</formula>
    </cfRule>
    <cfRule type="expression" dxfId="1725" priority="18">
      <formula>Q8&lt;0</formula>
    </cfRule>
  </conditionalFormatting>
  <conditionalFormatting sqref="F25:F46">
    <cfRule type="expression" dxfId="1724" priority="15">
      <formula>F25&gt;0</formula>
    </cfRule>
    <cfRule type="expression" dxfId="1723" priority="16">
      <formula>F25&lt;0</formula>
    </cfRule>
  </conditionalFormatting>
  <conditionalFormatting sqref="H25:H46">
    <cfRule type="expression" dxfId="1722" priority="13">
      <formula>H25&gt;0</formula>
    </cfRule>
    <cfRule type="expression" dxfId="1721" priority="14">
      <formula>H25&lt;0</formula>
    </cfRule>
  </conditionalFormatting>
  <conditionalFormatting sqref="F89:F110">
    <cfRule type="expression" dxfId="1720" priority="11">
      <formula>F89&gt;0</formula>
    </cfRule>
    <cfRule type="expression" dxfId="1719" priority="12">
      <formula>F89&lt;0</formula>
    </cfRule>
  </conditionalFormatting>
  <conditionalFormatting sqref="H89:H110">
    <cfRule type="expression" dxfId="1718" priority="9">
      <formula>H89&gt;0</formula>
    </cfRule>
    <cfRule type="expression" dxfId="1717" priority="10">
      <formula>H89&lt;0</formula>
    </cfRule>
  </conditionalFormatting>
  <conditionalFormatting sqref="Q10">
    <cfRule type="expression" dxfId="1716" priority="7">
      <formula>Q10&gt;0</formula>
    </cfRule>
    <cfRule type="expression" dxfId="1715" priority="8">
      <formula>Q10&lt;0</formula>
    </cfRule>
  </conditionalFormatting>
  <conditionalFormatting sqref="J25:J38">
    <cfRule type="expression" dxfId="1714" priority="5">
      <formula>J25&gt;0</formula>
    </cfRule>
    <cfRule type="expression" dxfId="1713" priority="6">
      <formula>J25&lt;0</formula>
    </cfRule>
  </conditionalFormatting>
  <conditionalFormatting sqref="K25:K38">
    <cfRule type="expression" dxfId="1712" priority="3">
      <formula>K25&gt;0</formula>
    </cfRule>
    <cfRule type="expression" dxfId="1711" priority="4">
      <formula>K25&lt;0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672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818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140.65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140.65</v>
      </c>
      <c r="R4" s="495">
        <v>-2.0999999999999999E-3</v>
      </c>
      <c r="T4" s="29">
        <v>42738</v>
      </c>
      <c r="U4" t="s">
        <v>817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844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850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207</v>
      </c>
      <c r="Q9" s="134">
        <f>IF(Q2=0, 0, Q8/Q6)</f>
        <v>0</v>
      </c>
      <c r="T9" s="29">
        <v>43114</v>
      </c>
      <c r="U9" t="s">
        <v>871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206</v>
      </c>
      <c r="P10" s="33"/>
      <c r="Q10" s="2">
        <f>M70</f>
        <v>0</v>
      </c>
      <c r="U10" t="s">
        <v>872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987</v>
      </c>
      <c r="Q12" s="29"/>
      <c r="T12" s="29">
        <v>43193</v>
      </c>
      <c r="U12" t="s">
        <v>958</v>
      </c>
    </row>
    <row r="13" spans="1:21" x14ac:dyDescent="0.25">
      <c r="C13" s="4"/>
      <c r="D13" s="3"/>
      <c r="E13" s="3"/>
      <c r="F13" s="3"/>
      <c r="H13" s="70"/>
      <c r="O13" s="11" t="s">
        <v>965</v>
      </c>
      <c r="Q13">
        <f>Q4/6.69</f>
        <v>21.02391629297459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57" t="s">
        <v>78</v>
      </c>
      <c r="P17" s="857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154.71500000000003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2">O19*$Q$4</f>
        <v>153.30850000000001</v>
      </c>
      <c r="Q19" s="2"/>
    </row>
    <row r="20" spans="1:17" x14ac:dyDescent="0.25">
      <c r="O20" s="81">
        <v>1.08</v>
      </c>
      <c r="P20" s="81">
        <f t="shared" si="2"/>
        <v>151.90200000000002</v>
      </c>
      <c r="Q20" s="2"/>
    </row>
    <row r="21" spans="1:17" x14ac:dyDescent="0.25">
      <c r="O21" s="81">
        <v>1.07</v>
      </c>
      <c r="P21" s="81">
        <f t="shared" si="2"/>
        <v>150.49550000000002</v>
      </c>
      <c r="Q21" s="2"/>
    </row>
    <row r="22" spans="1:17" x14ac:dyDescent="0.25">
      <c r="O22" s="81">
        <v>1.06</v>
      </c>
      <c r="P22" s="81">
        <f t="shared" si="2"/>
        <v>149.08900000000003</v>
      </c>
      <c r="Q22" s="2"/>
    </row>
    <row r="23" spans="1:17" x14ac:dyDescent="0.25">
      <c r="O23" s="81">
        <v>1.05</v>
      </c>
      <c r="P23" s="81">
        <f t="shared" si="2"/>
        <v>147.6825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662</v>
      </c>
      <c r="L24" s="220" t="s">
        <v>494</v>
      </c>
      <c r="M24" s="220" t="s">
        <v>70</v>
      </c>
      <c r="O24" s="81">
        <v>1.04</v>
      </c>
      <c r="P24" s="81">
        <f t="shared" si="2"/>
        <v>146.27600000000001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222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144.86950000000002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222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143.46300000000002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222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142.0565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222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140.65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222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139.24350000000001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222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137.83699999999999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222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136.43049999999999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222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135.024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222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133.61750000000001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222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132.21099999999998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222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130.80450000000002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222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129.39800000000002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222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127.99150000000002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222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126.58500000000001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222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222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222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222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222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222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222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222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222">
        <f t="shared" si="8"/>
        <v>0.25106962460357785</v>
      </c>
      <c r="I47" s="193" t="s">
        <v>849</v>
      </c>
      <c r="J47" s="39"/>
      <c r="K47" s="39"/>
      <c r="L47" s="39">
        <v>74.34</v>
      </c>
      <c r="M47" s="39" t="s">
        <v>870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222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222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222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222">
        <f t="shared" si="8"/>
        <v>0.16722783389450063</v>
      </c>
      <c r="I51" s="39" t="s">
        <v>932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222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222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222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222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222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222">
        <f t="shared" si="11"/>
        <v>0.26167160100204973</v>
      </c>
      <c r="I57" s="39" t="s">
        <v>963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222">
        <f t="shared" si="11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222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222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222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222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710" priority="25">
      <formula>F7&gt;0</formula>
    </cfRule>
    <cfRule type="expression" dxfId="1709" priority="26">
      <formula>F7&lt;0</formula>
    </cfRule>
  </conditionalFormatting>
  <conditionalFormatting sqref="Q8">
    <cfRule type="expression" dxfId="1708" priority="23">
      <formula>Q8&gt;0</formula>
    </cfRule>
    <cfRule type="expression" dxfId="1707" priority="24">
      <formula>Q8&lt;0</formula>
    </cfRule>
  </conditionalFormatting>
  <conditionalFormatting sqref="F93:F114">
    <cfRule type="expression" dxfId="1706" priority="17">
      <formula>F93&gt;0</formula>
    </cfRule>
    <cfRule type="expression" dxfId="1705" priority="18">
      <formula>F93&lt;0</formula>
    </cfRule>
  </conditionalFormatting>
  <conditionalFormatting sqref="H93:H114">
    <cfRule type="expression" dxfId="1704" priority="15">
      <formula>H93&gt;0</formula>
    </cfRule>
    <cfRule type="expression" dxfId="1703" priority="16">
      <formula>H93&lt;0</formula>
    </cfRule>
  </conditionalFormatting>
  <conditionalFormatting sqref="Q10">
    <cfRule type="expression" dxfId="1702" priority="13">
      <formula>Q10&gt;0</formula>
    </cfRule>
    <cfRule type="expression" dxfId="1701" priority="14">
      <formula>Q10&lt;0</formula>
    </cfRule>
  </conditionalFormatting>
  <conditionalFormatting sqref="J25:J38">
    <cfRule type="expression" dxfId="1700" priority="11">
      <formula>J25&gt;0</formula>
    </cfRule>
    <cfRule type="expression" dxfId="1699" priority="12">
      <formula>J25&lt;0</formula>
    </cfRule>
  </conditionalFormatting>
  <conditionalFormatting sqref="K25:K38">
    <cfRule type="expression" dxfId="1698" priority="9">
      <formula>K25&gt;0</formula>
    </cfRule>
    <cfRule type="expression" dxfId="1697" priority="10">
      <formula>K25&lt;0</formula>
    </cfRule>
  </conditionalFormatting>
  <conditionalFormatting sqref="L25:L34">
    <cfRule type="expression" dxfId="1696" priority="7">
      <formula>L25&gt;0</formula>
    </cfRule>
    <cfRule type="expression" dxfId="1695" priority="8">
      <formula>L25&lt;0</formula>
    </cfRule>
  </conditionalFormatting>
  <conditionalFormatting sqref="J43">
    <cfRule type="expression" dxfId="1694" priority="5">
      <formula>J43&gt;0</formula>
    </cfRule>
    <cfRule type="expression" dxfId="1693" priority="6">
      <formula>J43&lt;0</formula>
    </cfRule>
  </conditionalFormatting>
  <conditionalFormatting sqref="M25:M34">
    <cfRule type="expression" dxfId="1692" priority="3">
      <formula>M25&gt;0</formula>
    </cfRule>
    <cfRule type="expression" dxfId="1691" priority="4">
      <formula>M25&lt;0</formula>
    </cfRule>
  </conditionalFormatting>
  <conditionalFormatting sqref="H61:H64 F61:F64">
    <cfRule type="expression" dxfId="1690" priority="1">
      <formula>F61&gt;0</formula>
    </cfRule>
    <cfRule type="expression" dxfId="1689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950</v>
      </c>
      <c r="B2" s="434">
        <v>43178</v>
      </c>
      <c r="C2" s="4">
        <v>100</v>
      </c>
      <c r="D2" s="3">
        <v>35.380000000000003</v>
      </c>
      <c r="E2" s="3">
        <v>0</v>
      </c>
      <c r="F2" s="3">
        <f t="shared" ref="F2:F7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>H2*I2-J2</f>
        <v>3179.96</v>
      </c>
      <c r="L2" s="72">
        <v>43216</v>
      </c>
      <c r="M2" s="43">
        <v>28.5</v>
      </c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72">
        <v>43178</v>
      </c>
      <c r="C3" s="4">
        <v>50</v>
      </c>
      <c r="D3" s="3">
        <v>35.380000000000003</v>
      </c>
      <c r="E3" s="3">
        <v>0</v>
      </c>
      <c r="F3" s="3">
        <f t="shared" si="0"/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>H3*I3-J3</f>
        <v>5036.93</v>
      </c>
      <c r="L3" s="72">
        <v>43306</v>
      </c>
      <c r="M3" s="43">
        <v>47.5</v>
      </c>
      <c r="O3" s="11" t="s">
        <v>58</v>
      </c>
      <c r="Q3" s="221">
        <f>IF(Q2=0, Q4, (F18-K18-M18)/Q2)</f>
        <v>29.954800000000009</v>
      </c>
      <c r="T3" s="1">
        <v>43215</v>
      </c>
      <c r="U3" t="s">
        <v>1019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>H4*I4-J4</f>
        <v>1683.98</v>
      </c>
      <c r="L4" s="4"/>
      <c r="M4" s="4"/>
      <c r="O4" s="11" t="s">
        <v>66</v>
      </c>
      <c r="Q4" s="54">
        <v>35.08</v>
      </c>
      <c r="R4" s="495">
        <v>9.4999999999999998E-3</v>
      </c>
      <c r="T4" s="770"/>
      <c r="U4" s="30" t="s">
        <v>1020</v>
      </c>
    </row>
    <row r="5" spans="1:21" x14ac:dyDescent="0.25">
      <c r="B5" s="434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434">
        <v>43292</v>
      </c>
      <c r="H5" s="80">
        <v>100</v>
      </c>
      <c r="I5" s="43">
        <v>34</v>
      </c>
      <c r="J5" s="43">
        <v>0.54</v>
      </c>
      <c r="K5" s="43">
        <f>H5*I5-J5</f>
        <v>3399.46</v>
      </c>
      <c r="L5" s="4"/>
      <c r="M5" s="4"/>
      <c r="O5" s="11" t="s">
        <v>67</v>
      </c>
      <c r="Q5" s="3">
        <f>Q4*Q2</f>
        <v>5262</v>
      </c>
    </row>
    <row r="6" spans="1:21" x14ac:dyDescent="0.25">
      <c r="B6" s="434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434">
        <v>43307</v>
      </c>
      <c r="H6" s="80">
        <v>100</v>
      </c>
      <c r="I6" s="43">
        <v>34.78</v>
      </c>
      <c r="J6" s="43">
        <v>0.05</v>
      </c>
      <c r="K6" s="43">
        <f>H6*I6-J6</f>
        <v>3477.95</v>
      </c>
      <c r="L6" s="4"/>
      <c r="M6" s="4"/>
      <c r="O6" s="11" t="s">
        <v>64</v>
      </c>
      <c r="Q6" s="2">
        <f>Q3*Q2</f>
        <v>4493.2200000000012</v>
      </c>
      <c r="T6" s="1">
        <v>43217</v>
      </c>
      <c r="U6" t="s">
        <v>1027</v>
      </c>
    </row>
    <row r="7" spans="1:21" x14ac:dyDescent="0.25">
      <c r="B7" s="474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768.77999999999884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768.77999999999884</v>
      </c>
      <c r="T8" s="1">
        <v>43228</v>
      </c>
      <c r="U8" t="s">
        <v>1062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0.17109778733291461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2.1664766248574687E-2</v>
      </c>
      <c r="R11">
        <v>0.19</v>
      </c>
      <c r="T11" s="156">
        <v>43262</v>
      </c>
      <c r="U11" t="s">
        <v>1028</v>
      </c>
    </row>
    <row r="12" spans="1:21" x14ac:dyDescent="0.25">
      <c r="H12" s="70"/>
      <c r="O12" s="11" t="s">
        <v>987</v>
      </c>
      <c r="Q12" s="1" t="s">
        <v>1127</v>
      </c>
      <c r="T12" s="67"/>
    </row>
    <row r="13" spans="1:21" x14ac:dyDescent="0.25">
      <c r="H13" s="70"/>
      <c r="O13" s="11" t="s">
        <v>965</v>
      </c>
      <c r="Q13">
        <f>Q4/2.5</f>
        <v>14.032</v>
      </c>
      <c r="T13" s="156">
        <v>43263</v>
      </c>
      <c r="U13" t="s">
        <v>1107</v>
      </c>
    </row>
    <row r="14" spans="1:21" x14ac:dyDescent="0.25">
      <c r="H14" s="70"/>
      <c r="O14" s="11" t="s">
        <v>1102</v>
      </c>
    </row>
    <row r="15" spans="1:21" x14ac:dyDescent="0.25">
      <c r="H15" s="70"/>
      <c r="O15" s="11" t="s">
        <v>1031</v>
      </c>
      <c r="Q15" s="1">
        <v>43218</v>
      </c>
      <c r="T15" s="1">
        <v>43271</v>
      </c>
      <c r="U15" t="s">
        <v>1128</v>
      </c>
    </row>
    <row r="16" spans="1:21" x14ac:dyDescent="0.25">
      <c r="H16" s="70"/>
      <c r="T16" s="1">
        <v>43300</v>
      </c>
      <c r="U16" t="s">
        <v>1216</v>
      </c>
    </row>
    <row r="17" spans="1:21" x14ac:dyDescent="0.25">
      <c r="T17" s="156">
        <v>43308</v>
      </c>
      <c r="U17" t="s">
        <v>1161</v>
      </c>
    </row>
    <row r="18" spans="1:21" x14ac:dyDescent="0.25">
      <c r="A18" s="31" t="s">
        <v>81</v>
      </c>
      <c r="B18" s="14"/>
      <c r="C18" s="14">
        <f>SUM(C2:C8)</f>
        <v>650</v>
      </c>
      <c r="D18" s="18"/>
      <c r="E18" s="18"/>
      <c r="F18" s="18">
        <f>SUM(F2:F8)</f>
        <v>21347.5</v>
      </c>
      <c r="G18" s="14"/>
      <c r="H18" s="71">
        <f>SUM(H2:H6)</f>
        <v>500</v>
      </c>
      <c r="I18" s="18"/>
      <c r="J18" s="18"/>
      <c r="K18" s="18">
        <f>SUM(K2:K6)</f>
        <v>16778.28</v>
      </c>
      <c r="L18" s="14"/>
      <c r="M18" s="18">
        <f>SUM(M2:M17)</f>
        <v>76</v>
      </c>
    </row>
    <row r="19" spans="1:21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16040</v>
      </c>
      <c r="G19" s="343"/>
      <c r="H19" s="343">
        <f>SumByColor($A$19,H2:H17)</f>
        <v>500</v>
      </c>
      <c r="I19" s="343"/>
      <c r="J19" s="343"/>
      <c r="K19" s="344">
        <f>SumByColor($A$19,K2:K17)</f>
        <v>16778</v>
      </c>
      <c r="L19" s="343"/>
      <c r="M19" s="344">
        <f>SumByColor($A$19,M2:M17)</f>
        <v>76</v>
      </c>
    </row>
    <row r="22" spans="1:21" ht="20.25" thickBot="1" x14ac:dyDescent="0.35">
      <c r="O22" s="797" t="s">
        <v>78</v>
      </c>
      <c r="P22" s="797"/>
    </row>
    <row r="23" spans="1:21" ht="15.75" thickTop="1" x14ac:dyDescent="0.25">
      <c r="O23" s="81">
        <v>1.1000000000000001</v>
      </c>
      <c r="P23" s="81">
        <f>O23*$Q$4</f>
        <v>38.588000000000001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965</v>
      </c>
      <c r="L24" s="220"/>
      <c r="O24" s="81">
        <v>1.0900000000000001</v>
      </c>
      <c r="P24" s="81">
        <f t="shared" ref="P24:P43" si="1">O24*$Q$4</f>
        <v>38.237200000000001</v>
      </c>
      <c r="Q24" s="2"/>
    </row>
    <row r="25" spans="1:21" x14ac:dyDescent="0.25">
      <c r="B25" s="184">
        <v>43178</v>
      </c>
      <c r="C25" s="228">
        <v>150</v>
      </c>
      <c r="D25" s="22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222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1"/>
        <v>37.886400000000002</v>
      </c>
      <c r="Q25" s="2"/>
    </row>
    <row r="26" spans="1:21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222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1"/>
        <v>37.535600000000002</v>
      </c>
      <c r="Q26" s="2"/>
    </row>
    <row r="27" spans="1:21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222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1"/>
        <v>37.184800000000003</v>
      </c>
      <c r="Q27" s="2"/>
    </row>
    <row r="28" spans="1:21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2">C28*(E28-D28)</f>
        <v>-228.00000000000045</v>
      </c>
      <c r="G28" s="39">
        <f t="shared" ref="G28:G33" si="3">D28*C28</f>
        <v>5307</v>
      </c>
      <c r="H28" s="222">
        <f t="shared" ref="H28:H33" si="4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1"/>
        <v>36.834000000000003</v>
      </c>
      <c r="Q28" s="2"/>
    </row>
    <row r="29" spans="1:21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2"/>
        <v>-168.00000000000068</v>
      </c>
      <c r="G29" s="39">
        <f t="shared" si="3"/>
        <v>5307</v>
      </c>
      <c r="H29" s="222">
        <f t="shared" si="4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1"/>
        <v>36.483199999999997</v>
      </c>
      <c r="Q29" s="2"/>
    </row>
    <row r="30" spans="1:21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2"/>
        <v>-516.00000000000068</v>
      </c>
      <c r="G30" s="39">
        <f t="shared" si="3"/>
        <v>10059</v>
      </c>
      <c r="H30" s="222">
        <f t="shared" si="4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1"/>
        <v>36.132399999999997</v>
      </c>
      <c r="Q30" s="2"/>
    </row>
    <row r="31" spans="1:21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2"/>
        <v>-883.20000000000073</v>
      </c>
      <c r="G31" s="39">
        <f t="shared" si="3"/>
        <v>13119.2</v>
      </c>
      <c r="H31" s="222">
        <f t="shared" si="4"/>
        <v>-6.7321178120617164E-2</v>
      </c>
      <c r="I31" s="39"/>
      <c r="J31" s="39"/>
      <c r="K31" s="39"/>
      <c r="L31" s="155"/>
      <c r="O31" s="81">
        <v>1.02</v>
      </c>
      <c r="P31" s="81">
        <f t="shared" si="1"/>
        <v>35.781599999999997</v>
      </c>
      <c r="Q31" s="2"/>
    </row>
    <row r="32" spans="1:21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2"/>
        <v>-99.000000000000909</v>
      </c>
      <c r="G32" s="39">
        <f t="shared" si="3"/>
        <v>13119</v>
      </c>
      <c r="H32" s="222">
        <f t="shared" si="4"/>
        <v>-7.5463068831466504E-3</v>
      </c>
      <c r="I32" s="39"/>
      <c r="J32" s="39"/>
      <c r="K32" s="39"/>
      <c r="L32" s="155"/>
      <c r="O32" s="81">
        <v>1.01</v>
      </c>
      <c r="P32" s="81">
        <f t="shared" si="1"/>
        <v>35.430799999999998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2"/>
        <v>-414.0000000000008</v>
      </c>
      <c r="G33" s="39">
        <f t="shared" si="3"/>
        <v>9939</v>
      </c>
      <c r="H33" s="222">
        <f t="shared" si="4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1"/>
        <v>35.08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5">C34*(E34-D34)</f>
        <v>-315.00000000000125</v>
      </c>
      <c r="G34" s="39">
        <f t="shared" ref="G34:G43" si="6">D34*C34</f>
        <v>9939</v>
      </c>
      <c r="H34" s="222">
        <f t="shared" ref="H34:H43" si="7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1"/>
        <v>34.729199999999999</v>
      </c>
      <c r="Q34" s="2"/>
    </row>
    <row r="35" spans="1:17" x14ac:dyDescent="0.25">
      <c r="B35" s="184">
        <v>43265</v>
      </c>
      <c r="C35" s="228">
        <v>150</v>
      </c>
      <c r="D35" s="229">
        <v>32.680700000000002</v>
      </c>
      <c r="E35" s="39">
        <v>33.82</v>
      </c>
      <c r="F35" s="39">
        <f t="shared" si="5"/>
        <v>170.89499999999981</v>
      </c>
      <c r="G35" s="39">
        <f t="shared" si="6"/>
        <v>4902.1050000000005</v>
      </c>
      <c r="H35" s="222">
        <f t="shared" si="7"/>
        <v>3.48615543730703E-2</v>
      </c>
      <c r="I35" s="39" t="s">
        <v>1124</v>
      </c>
      <c r="J35" s="39"/>
      <c r="K35" s="39">
        <v>13.53</v>
      </c>
      <c r="L35" s="155"/>
      <c r="O35" s="81">
        <v>0.98</v>
      </c>
      <c r="P35" s="81">
        <f t="shared" si="1"/>
        <v>34.378399999999999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5"/>
        <v>-30.120000000000147</v>
      </c>
      <c r="G36" s="39">
        <f t="shared" si="6"/>
        <v>9804.119999999999</v>
      </c>
      <c r="H36" s="222">
        <f t="shared" si="7"/>
        <v>-3.0721778191209561E-3</v>
      </c>
      <c r="I36" s="39" t="s">
        <v>1124</v>
      </c>
      <c r="J36" s="39"/>
      <c r="K36" s="39">
        <v>13.03</v>
      </c>
      <c r="L36" s="39"/>
      <c r="O36" s="81">
        <v>0.97</v>
      </c>
      <c r="P36" s="81">
        <f t="shared" si="1"/>
        <v>34.0276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5"/>
        <v>227.37500000000034</v>
      </c>
      <c r="G37" s="39">
        <f t="shared" si="6"/>
        <v>8120.125</v>
      </c>
      <c r="H37" s="222">
        <f t="shared" si="7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1"/>
        <v>33.6768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5"/>
        <v>-47.625000000000028</v>
      </c>
      <c r="G38" s="39">
        <f t="shared" si="6"/>
        <v>8120.125</v>
      </c>
      <c r="H38" s="222">
        <f t="shared" si="7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1"/>
        <v>33.325999999999993</v>
      </c>
    </row>
    <row r="39" spans="1:17" x14ac:dyDescent="0.25">
      <c r="A39">
        <v>100</v>
      </c>
      <c r="B39" s="184">
        <v>43288</v>
      </c>
      <c r="C39" s="10">
        <v>250</v>
      </c>
      <c r="D39" s="39">
        <v>32.480499999999999</v>
      </c>
      <c r="E39" s="39">
        <v>33.58</v>
      </c>
      <c r="F39" s="39">
        <f t="shared" si="5"/>
        <v>274.87499999999977</v>
      </c>
      <c r="G39" s="39">
        <f t="shared" si="6"/>
        <v>8120.125</v>
      </c>
      <c r="H39" s="222">
        <f t="shared" si="7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1"/>
        <v>32.975199999999994</v>
      </c>
    </row>
    <row r="40" spans="1:17" x14ac:dyDescent="0.25">
      <c r="A40">
        <v>0</v>
      </c>
      <c r="B40" s="184">
        <v>43292</v>
      </c>
      <c r="C40" s="10">
        <v>150</v>
      </c>
      <c r="D40" s="39">
        <v>31.4711</v>
      </c>
      <c r="E40" s="39">
        <v>34</v>
      </c>
      <c r="F40" s="39">
        <f t="shared" si="5"/>
        <v>379.33500000000004</v>
      </c>
      <c r="G40" s="39">
        <f t="shared" si="6"/>
        <v>4720.665</v>
      </c>
      <c r="H40" s="222">
        <f t="shared" si="7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1"/>
        <v>32.624400000000001</v>
      </c>
    </row>
    <row r="41" spans="1:17" x14ac:dyDescent="0.25">
      <c r="A41">
        <v>150</v>
      </c>
      <c r="B41" s="184">
        <v>43305</v>
      </c>
      <c r="C41" s="228">
        <v>150</v>
      </c>
      <c r="D41" s="229">
        <v>31.154499999999999</v>
      </c>
      <c r="E41" s="39">
        <v>33.39</v>
      </c>
      <c r="F41" s="39">
        <f t="shared" si="5"/>
        <v>335.32500000000027</v>
      </c>
      <c r="G41" s="39">
        <f t="shared" si="6"/>
        <v>4673.1750000000002</v>
      </c>
      <c r="H41" s="222">
        <f t="shared" si="7"/>
        <v>7.175528414835744E-2</v>
      </c>
      <c r="I41" s="39" t="s">
        <v>1227</v>
      </c>
      <c r="J41" s="39"/>
      <c r="K41" s="39">
        <v>13.356</v>
      </c>
      <c r="L41" s="39" t="s">
        <v>185</v>
      </c>
      <c r="O41" s="81">
        <v>0.92</v>
      </c>
      <c r="P41" s="81">
        <f t="shared" si="1"/>
        <v>32.273600000000002</v>
      </c>
    </row>
    <row r="42" spans="1:17" x14ac:dyDescent="0.25">
      <c r="B42" s="18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5"/>
        <v>273.82499999999953</v>
      </c>
      <c r="G42" s="39">
        <f t="shared" si="6"/>
        <v>7971.1749999999993</v>
      </c>
      <c r="H42" s="222">
        <f t="shared" si="7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1"/>
        <v>31.922799999999999</v>
      </c>
    </row>
    <row r="43" spans="1:17" x14ac:dyDescent="0.25">
      <c r="A43">
        <v>50</v>
      </c>
      <c r="B43" s="184">
        <v>43307</v>
      </c>
      <c r="C43" s="228">
        <v>150</v>
      </c>
      <c r="D43" s="229">
        <v>29.954799999999999</v>
      </c>
      <c r="E43" s="39">
        <v>34.78</v>
      </c>
      <c r="F43" s="39">
        <f t="shared" si="5"/>
        <v>723.78000000000031</v>
      </c>
      <c r="G43" s="39">
        <f t="shared" si="6"/>
        <v>4493.22</v>
      </c>
      <c r="H43" s="222">
        <f t="shared" si="7"/>
        <v>0.16108269793155028</v>
      </c>
      <c r="I43" s="39" t="s">
        <v>1228</v>
      </c>
      <c r="J43" s="39"/>
      <c r="K43" s="39"/>
      <c r="L43" s="39"/>
      <c r="O43" s="81">
        <v>0.9</v>
      </c>
      <c r="P43" s="81">
        <f t="shared" si="1"/>
        <v>31.571999999999999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662</v>
      </c>
      <c r="L88" s="220" t="s">
        <v>668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688" priority="33">
      <formula>F54&gt;0</formula>
    </cfRule>
    <cfRule type="expression" dxfId="1687" priority="34">
      <formula>F54&lt;0</formula>
    </cfRule>
  </conditionalFormatting>
  <conditionalFormatting sqref="Q7">
    <cfRule type="expression" dxfId="1686" priority="31">
      <formula>Q7&gt;0</formula>
    </cfRule>
    <cfRule type="expression" dxfId="1685" priority="32">
      <formula>Q7&lt;0</formula>
    </cfRule>
  </conditionalFormatting>
  <conditionalFormatting sqref="Q8">
    <cfRule type="expression" dxfId="1684" priority="29">
      <formula>Q8&gt;0</formula>
    </cfRule>
    <cfRule type="expression" dxfId="1683" priority="30">
      <formula>Q8&lt;0</formula>
    </cfRule>
  </conditionalFormatting>
  <conditionalFormatting sqref="F30:F53">
    <cfRule type="expression" dxfId="1682" priority="27">
      <formula>F30&gt;0</formula>
    </cfRule>
    <cfRule type="expression" dxfId="1681" priority="28">
      <formula>F30&lt;0</formula>
    </cfRule>
  </conditionalFormatting>
  <conditionalFormatting sqref="H30:H53">
    <cfRule type="expression" dxfId="1680" priority="25">
      <formula>H30&gt;0</formula>
    </cfRule>
    <cfRule type="expression" dxfId="1679" priority="26">
      <formula>H30&lt;0</formula>
    </cfRule>
  </conditionalFormatting>
  <conditionalFormatting sqref="Q10">
    <cfRule type="expression" dxfId="1678" priority="23">
      <formula>Q10&gt;0</formula>
    </cfRule>
    <cfRule type="expression" dxfId="1677" priority="24">
      <formula>Q10&lt;0</formula>
    </cfRule>
  </conditionalFormatting>
  <conditionalFormatting sqref="J25:J38">
    <cfRule type="expression" dxfId="1676" priority="21">
      <formula>J25&gt;0</formula>
    </cfRule>
    <cfRule type="expression" dxfId="1675" priority="22">
      <formula>J25&lt;0</formula>
    </cfRule>
  </conditionalFormatting>
  <conditionalFormatting sqref="K25:K33">
    <cfRule type="expression" dxfId="1674" priority="19">
      <formula>K25&gt;0</formula>
    </cfRule>
    <cfRule type="expression" dxfId="1673" priority="20">
      <formula>K25&lt;0</formula>
    </cfRule>
  </conditionalFormatting>
  <conditionalFormatting sqref="L25:L38">
    <cfRule type="expression" dxfId="1672" priority="17">
      <formula>L25&gt;0</formula>
    </cfRule>
    <cfRule type="expression" dxfId="1671" priority="18">
      <formula>L25&lt;0</formula>
    </cfRule>
  </conditionalFormatting>
  <conditionalFormatting sqref="F89:F110">
    <cfRule type="expression" dxfId="1670" priority="15">
      <formula>F89&gt;0</formula>
    </cfRule>
    <cfRule type="expression" dxfId="1669" priority="16">
      <formula>F89&lt;0</formula>
    </cfRule>
  </conditionalFormatting>
  <conditionalFormatting sqref="H89:H110">
    <cfRule type="expression" dxfId="1668" priority="13">
      <formula>H89&gt;0</formula>
    </cfRule>
    <cfRule type="expression" dxfId="1667" priority="14">
      <formula>H89&lt;0</formula>
    </cfRule>
  </conditionalFormatting>
  <conditionalFormatting sqref="J89:J102">
    <cfRule type="expression" dxfId="1666" priority="11">
      <formula>J89&gt;0</formula>
    </cfRule>
    <cfRule type="expression" dxfId="1665" priority="12">
      <formula>J89&lt;0</formula>
    </cfRule>
  </conditionalFormatting>
  <conditionalFormatting sqref="K89:K102">
    <cfRule type="expression" dxfId="1664" priority="9">
      <formula>K89&gt;0</formula>
    </cfRule>
    <cfRule type="expression" dxfId="1663" priority="10">
      <formula>K89&lt;0</formula>
    </cfRule>
  </conditionalFormatting>
  <conditionalFormatting sqref="L89:L102">
    <cfRule type="expression" dxfId="1662" priority="7">
      <formula>L89&gt;0</formula>
    </cfRule>
    <cfRule type="expression" dxfId="1661" priority="8">
      <formula>L89&lt;0</formula>
    </cfRule>
  </conditionalFormatting>
  <conditionalFormatting sqref="F25:F29">
    <cfRule type="expression" dxfId="1660" priority="5">
      <formula>F25&gt;0</formula>
    </cfRule>
    <cfRule type="expression" dxfId="1659" priority="6">
      <formula>F25&lt;0</formula>
    </cfRule>
  </conditionalFormatting>
  <conditionalFormatting sqref="H25:H29">
    <cfRule type="expression" dxfId="1658" priority="3">
      <formula>H25&gt;0</formula>
    </cfRule>
    <cfRule type="expression" dxfId="1657" priority="4">
      <formula>H25&lt;0</formula>
    </cfRule>
  </conditionalFormatting>
  <conditionalFormatting sqref="F29">
    <cfRule type="expression" dxfId="1656" priority="1">
      <formula>F29&gt;0</formula>
    </cfRule>
    <cfRule type="expression" dxfId="1655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951</v>
      </c>
      <c r="B2" s="434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102.1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102.1</v>
      </c>
      <c r="R4" s="495">
        <v>8.9999999999999998E-4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6.2683643486777674E-3</v>
      </c>
      <c r="R11">
        <v>0.16</v>
      </c>
    </row>
    <row r="12" spans="1:21" x14ac:dyDescent="0.25">
      <c r="H12" s="70"/>
      <c r="O12" s="11" t="s">
        <v>987</v>
      </c>
      <c r="Q12" s="1"/>
    </row>
    <row r="13" spans="1:21" x14ac:dyDescent="0.25">
      <c r="H13" s="70"/>
      <c r="O13" s="11" t="s">
        <v>965</v>
      </c>
      <c r="Q13" s="2">
        <f>Q4/7.38</f>
        <v>13.834688346883468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112.31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0">O24*$Q$4</f>
        <v>111.289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222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110.268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222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109.247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222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108.226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222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107.205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222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106.184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105.163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104.142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103.121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102.1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101.07899999999999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100.05799999999999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99.036999999999992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98.015999999999991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96.99499999999999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95.97399999999999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94.953000000000003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93.932000000000002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92.911000000000001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91.89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662</v>
      </c>
      <c r="L88" s="220" t="s">
        <v>668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54" priority="31">
      <formula>F47&gt;0</formula>
    </cfRule>
    <cfRule type="expression" dxfId="1653" priority="32">
      <formula>F47&lt;0</formula>
    </cfRule>
  </conditionalFormatting>
  <conditionalFormatting sqref="Q7">
    <cfRule type="expression" dxfId="1652" priority="29">
      <formula>Q7&gt;0</formula>
    </cfRule>
    <cfRule type="expression" dxfId="1651" priority="30">
      <formula>Q7&lt;0</formula>
    </cfRule>
  </conditionalFormatting>
  <conditionalFormatting sqref="Q8">
    <cfRule type="expression" dxfId="1650" priority="27">
      <formula>Q8&gt;0</formula>
    </cfRule>
    <cfRule type="expression" dxfId="1649" priority="28">
      <formula>Q8&lt;0</formula>
    </cfRule>
  </conditionalFormatting>
  <conditionalFormatting sqref="F30:F46">
    <cfRule type="expression" dxfId="1648" priority="25">
      <formula>F30&gt;0</formula>
    </cfRule>
    <cfRule type="expression" dxfId="1647" priority="26">
      <formula>F30&lt;0</formula>
    </cfRule>
  </conditionalFormatting>
  <conditionalFormatting sqref="H30:H46">
    <cfRule type="expression" dxfId="1646" priority="23">
      <formula>H30&gt;0</formula>
    </cfRule>
    <cfRule type="expression" dxfId="1645" priority="24">
      <formula>H30&lt;0</formula>
    </cfRule>
  </conditionalFormatting>
  <conditionalFormatting sqref="Q10">
    <cfRule type="expression" dxfId="1644" priority="21">
      <formula>Q10&gt;0</formula>
    </cfRule>
    <cfRule type="expression" dxfId="1643" priority="22">
      <formula>Q10&lt;0</formula>
    </cfRule>
  </conditionalFormatting>
  <conditionalFormatting sqref="J25:J38">
    <cfRule type="expression" dxfId="1642" priority="19">
      <formula>J25&gt;0</formula>
    </cfRule>
    <cfRule type="expression" dxfId="1641" priority="20">
      <formula>J25&lt;0</formula>
    </cfRule>
  </conditionalFormatting>
  <conditionalFormatting sqref="K25:K38">
    <cfRule type="expression" dxfId="1640" priority="17">
      <formula>K25&gt;0</formula>
    </cfRule>
    <cfRule type="expression" dxfId="1639" priority="18">
      <formula>K25&lt;0</formula>
    </cfRule>
  </conditionalFormatting>
  <conditionalFormatting sqref="L25:L38">
    <cfRule type="expression" dxfId="1638" priority="15">
      <formula>L25&gt;0</formula>
    </cfRule>
    <cfRule type="expression" dxfId="1637" priority="16">
      <formula>L25&lt;0</formula>
    </cfRule>
  </conditionalFormatting>
  <conditionalFormatting sqref="F89:F110">
    <cfRule type="expression" dxfId="1636" priority="13">
      <formula>F89&gt;0</formula>
    </cfRule>
    <cfRule type="expression" dxfId="1635" priority="14">
      <formula>F89&lt;0</formula>
    </cfRule>
  </conditionalFormatting>
  <conditionalFormatting sqref="H89:H110">
    <cfRule type="expression" dxfId="1634" priority="11">
      <formula>H89&gt;0</formula>
    </cfRule>
    <cfRule type="expression" dxfId="1633" priority="12">
      <formula>H89&lt;0</formula>
    </cfRule>
  </conditionalFormatting>
  <conditionalFormatting sqref="J89:J102">
    <cfRule type="expression" dxfId="1632" priority="9">
      <formula>J89&gt;0</formula>
    </cfRule>
    <cfRule type="expression" dxfId="1631" priority="10">
      <formula>J89&lt;0</formula>
    </cfRule>
  </conditionalFormatting>
  <conditionalFormatting sqref="K89:K102">
    <cfRule type="expression" dxfId="1630" priority="7">
      <formula>K89&gt;0</formula>
    </cfRule>
    <cfRule type="expression" dxfId="1629" priority="8">
      <formula>K89&lt;0</formula>
    </cfRule>
  </conditionalFormatting>
  <conditionalFormatting sqref="L89:L102">
    <cfRule type="expression" dxfId="1628" priority="5">
      <formula>L89&gt;0</formula>
    </cfRule>
    <cfRule type="expression" dxfId="1627" priority="6">
      <formula>L89&lt;0</formula>
    </cfRule>
  </conditionalFormatting>
  <conditionalFormatting sqref="F25:F29">
    <cfRule type="expression" dxfId="1626" priority="3">
      <formula>F25&gt;0</formula>
    </cfRule>
    <cfRule type="expression" dxfId="1625" priority="4">
      <formula>F25&lt;0</formula>
    </cfRule>
  </conditionalFormatting>
  <conditionalFormatting sqref="H25:H29">
    <cfRule type="expression" dxfId="1624" priority="1">
      <formula>H25&gt;0</formula>
    </cfRule>
    <cfRule type="expression" dxfId="162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34">
        <v>43180</v>
      </c>
      <c r="C2" s="4">
        <v>100</v>
      </c>
      <c r="D2" s="3">
        <v>60.57</v>
      </c>
      <c r="E2" s="3">
        <v>0</v>
      </c>
      <c r="F2" s="3">
        <f>C2*D2+E2</f>
        <v>6057</v>
      </c>
      <c r="G2" s="434">
        <v>43287</v>
      </c>
      <c r="H2" s="7">
        <v>50</v>
      </c>
      <c r="I2" s="43">
        <v>58.38</v>
      </c>
      <c r="J2" s="43">
        <v>0.04</v>
      </c>
      <c r="K2" s="43">
        <f>H2*I2-J2</f>
        <v>2918.96</v>
      </c>
      <c r="L2" s="72">
        <v>43261</v>
      </c>
      <c r="M2" s="43">
        <v>105</v>
      </c>
      <c r="O2" s="11" t="s">
        <v>57</v>
      </c>
      <c r="Q2">
        <f>C18-H18</f>
        <v>250</v>
      </c>
      <c r="T2" s="1"/>
      <c r="U2" t="s">
        <v>1157</v>
      </c>
    </row>
    <row r="3" spans="1:21" x14ac:dyDescent="0.25">
      <c r="A3" s="22" t="s">
        <v>71</v>
      </c>
      <c r="B3" s="434">
        <v>43209</v>
      </c>
      <c r="C3" s="7">
        <v>50</v>
      </c>
      <c r="D3" s="43">
        <v>58.38</v>
      </c>
      <c r="E3" s="43">
        <v>0</v>
      </c>
      <c r="F3" s="43">
        <f>C3*D3+E3</f>
        <v>2919</v>
      </c>
      <c r="G3" s="434">
        <v>43291</v>
      </c>
      <c r="H3" s="80">
        <v>50</v>
      </c>
      <c r="I3" s="43">
        <v>58.77</v>
      </c>
      <c r="J3" s="43">
        <v>0.04</v>
      </c>
      <c r="K3" s="43">
        <f>H3*I3-J3</f>
        <v>2938.46</v>
      </c>
      <c r="L3" s="4"/>
      <c r="M3" s="4"/>
      <c r="O3" s="11" t="s">
        <v>58</v>
      </c>
      <c r="Q3" s="78">
        <f>IF(Q2=0, Q4, (F18-K18-M18)/Q2)</f>
        <v>57.048479999999998</v>
      </c>
      <c r="T3" s="1"/>
    </row>
    <row r="4" spans="1:21" x14ac:dyDescent="0.25">
      <c r="B4" s="474">
        <v>43283</v>
      </c>
      <c r="C4" s="4">
        <v>50</v>
      </c>
      <c r="D4" s="3">
        <v>55.8</v>
      </c>
      <c r="E4" s="3">
        <v>0</v>
      </c>
      <c r="F4" s="3">
        <f>C4*D4+E4</f>
        <v>2790</v>
      </c>
      <c r="G4" s="434">
        <v>43300</v>
      </c>
      <c r="H4" s="80">
        <v>50</v>
      </c>
      <c r="I4" s="43">
        <v>56.45</v>
      </c>
      <c r="J4" s="43">
        <v>0.04</v>
      </c>
      <c r="K4" s="43">
        <f>H4*I4-J4</f>
        <v>2822.46</v>
      </c>
      <c r="L4" s="4"/>
      <c r="M4" s="4"/>
      <c r="O4" s="11" t="s">
        <v>66</v>
      </c>
      <c r="Q4" s="54">
        <v>57.899900000000002</v>
      </c>
      <c r="R4" s="495">
        <v>3.2099999999999997E-2</v>
      </c>
      <c r="T4" s="770"/>
      <c r="U4" s="30"/>
    </row>
    <row r="5" spans="1:21" x14ac:dyDescent="0.25">
      <c r="B5" s="474">
        <v>43297</v>
      </c>
      <c r="C5" s="4">
        <v>100</v>
      </c>
      <c r="D5" s="3">
        <v>57.43</v>
      </c>
      <c r="E5" s="3">
        <v>0</v>
      </c>
      <c r="F5" s="3">
        <f>C5*D5+E5</f>
        <v>5743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14474.975</v>
      </c>
      <c r="T5" s="1">
        <v>43209</v>
      </c>
      <c r="U5" t="s">
        <v>999</v>
      </c>
    </row>
    <row r="6" spans="1:21" x14ac:dyDescent="0.25">
      <c r="B6" s="474">
        <v>43300</v>
      </c>
      <c r="C6" s="7">
        <v>100</v>
      </c>
      <c r="D6" s="43">
        <v>55.38</v>
      </c>
      <c r="E6" s="43">
        <v>0</v>
      </c>
      <c r="F6" s="43">
        <f>C6*D6+E6</f>
        <v>5538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14262.119999999999</v>
      </c>
      <c r="U6" t="s">
        <v>1000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212.85500000000138</v>
      </c>
      <c r="R7" s="29">
        <v>43314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212.85500000000138</v>
      </c>
      <c r="T8" s="1">
        <v>43216</v>
      </c>
      <c r="U8" t="s">
        <v>1024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1.4924499303049014E-2</v>
      </c>
      <c r="T9" s="156"/>
      <c r="U9" t="s">
        <v>1025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4.8359323591232448E-2</v>
      </c>
      <c r="R11">
        <v>0.7</v>
      </c>
      <c r="T11" s="1">
        <v>43285</v>
      </c>
      <c r="U11" t="s">
        <v>1156</v>
      </c>
    </row>
    <row r="12" spans="1:21" x14ac:dyDescent="0.25">
      <c r="H12" s="70"/>
      <c r="O12" s="11" t="s">
        <v>938</v>
      </c>
      <c r="Q12" s="1"/>
    </row>
    <row r="13" spans="1:21" x14ac:dyDescent="0.25">
      <c r="H13" s="70"/>
      <c r="O13" s="11" t="s">
        <v>965</v>
      </c>
      <c r="Q13" s="2">
        <f>Q4/(3.94+4.03)*2</f>
        <v>14.529460476787953</v>
      </c>
    </row>
    <row r="14" spans="1:21" x14ac:dyDescent="0.25">
      <c r="H14" s="70"/>
      <c r="T14" s="156">
        <v>43300</v>
      </c>
      <c r="U14" t="s">
        <v>1180</v>
      </c>
    </row>
    <row r="15" spans="1:21" x14ac:dyDescent="0.25">
      <c r="H15" s="70"/>
      <c r="U15" t="s">
        <v>1214</v>
      </c>
    </row>
    <row r="16" spans="1:21" ht="20.25" thickBot="1" x14ac:dyDescent="0.35">
      <c r="H16" s="70"/>
      <c r="O16" s="857" t="s">
        <v>78</v>
      </c>
      <c r="P16" s="857"/>
    </row>
    <row r="17" spans="1:21" ht="15.75" thickTop="1" x14ac:dyDescent="0.25">
      <c r="O17" s="81">
        <v>1.1000000000000001</v>
      </c>
      <c r="P17" s="81">
        <f>O17*$Q$4</f>
        <v>63.689890000000005</v>
      </c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23047</v>
      </c>
      <c r="G18" s="14"/>
      <c r="H18" s="71">
        <f>SUM(H2:H5)</f>
        <v>150</v>
      </c>
      <c r="I18" s="18"/>
      <c r="J18" s="18"/>
      <c r="K18" s="18">
        <f>SUM(K2:K5)</f>
        <v>8679.880000000001</v>
      </c>
      <c r="L18" s="14"/>
      <c r="M18" s="18">
        <f>SUM(M2:M10)</f>
        <v>105</v>
      </c>
      <c r="O18" s="81">
        <v>1.0900000000000001</v>
      </c>
      <c r="P18" s="81">
        <f t="shared" ref="P18:P37" si="0">O18*$Q$4</f>
        <v>63.110891000000009</v>
      </c>
      <c r="T18" s="1">
        <v>43307</v>
      </c>
      <c r="U18" t="s">
        <v>1229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8457</v>
      </c>
      <c r="G19" s="343"/>
      <c r="H19" s="343">
        <f>SumByColor($A$19,H2:H17)</f>
        <v>150</v>
      </c>
      <c r="I19" s="343"/>
      <c r="J19" s="343"/>
      <c r="K19" s="344">
        <f>SumByColor($A$19,K2:K17)</f>
        <v>8679</v>
      </c>
      <c r="L19" s="343"/>
      <c r="M19" s="344">
        <f>SumByColor($A$19,M2:M17)</f>
        <v>105</v>
      </c>
      <c r="O19" s="81">
        <v>1.08</v>
      </c>
      <c r="P19" s="81">
        <f t="shared" si="0"/>
        <v>62.531892000000006</v>
      </c>
    </row>
    <row r="20" spans="1:21" x14ac:dyDescent="0.25">
      <c r="O20" s="81">
        <v>1.07</v>
      </c>
      <c r="P20" s="81">
        <f t="shared" si="0"/>
        <v>61.952893000000003</v>
      </c>
    </row>
    <row r="21" spans="1:21" x14ac:dyDescent="0.25">
      <c r="O21" s="81">
        <v>1.06</v>
      </c>
      <c r="P21" s="81">
        <f t="shared" si="0"/>
        <v>61.373894000000007</v>
      </c>
    </row>
    <row r="22" spans="1:21" x14ac:dyDescent="0.25">
      <c r="O22" s="81">
        <v>1.05</v>
      </c>
      <c r="P22" s="81">
        <f t="shared" si="0"/>
        <v>60.794895000000004</v>
      </c>
    </row>
    <row r="23" spans="1:21" x14ac:dyDescent="0.25">
      <c r="O23" s="81">
        <v>1.04</v>
      </c>
      <c r="P23" s="81">
        <f t="shared" si="0"/>
        <v>60.215896000000008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662</v>
      </c>
      <c r="L24" s="220" t="s">
        <v>494</v>
      </c>
      <c r="O24" s="81">
        <v>1.03</v>
      </c>
      <c r="P24" s="81">
        <f t="shared" si="0"/>
        <v>59.636897000000005</v>
      </c>
    </row>
    <row r="25" spans="1:21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:F38" si="1">C25*(E25-D25)</f>
        <v>0</v>
      </c>
      <c r="G25" s="39">
        <f t="shared" ref="G25:G38" si="2">D25*C25</f>
        <v>6057</v>
      </c>
      <c r="H25" s="222">
        <f t="shared" ref="H25:H38" si="3">(E25-D25)/D25</f>
        <v>0</v>
      </c>
      <c r="I25" s="39"/>
      <c r="J25" s="39"/>
      <c r="K25" s="39"/>
      <c r="L25" s="39"/>
      <c r="O25" s="81">
        <v>1.02</v>
      </c>
      <c r="P25" s="81">
        <f t="shared" si="0"/>
        <v>59.057898000000002</v>
      </c>
    </row>
    <row r="26" spans="1:21" x14ac:dyDescent="0.25">
      <c r="B26" s="184">
        <v>43184</v>
      </c>
      <c r="C26" s="228">
        <v>100</v>
      </c>
      <c r="D26" s="229">
        <v>60.57</v>
      </c>
      <c r="E26" s="39">
        <v>59.27</v>
      </c>
      <c r="F26" s="39">
        <f t="shared" si="1"/>
        <v>-129.99999999999972</v>
      </c>
      <c r="G26" s="39">
        <f t="shared" si="2"/>
        <v>6057</v>
      </c>
      <c r="H26" s="222">
        <f t="shared" si="3"/>
        <v>-2.1462770348357224E-2</v>
      </c>
      <c r="I26" s="39"/>
      <c r="J26" s="39"/>
      <c r="K26" s="39"/>
      <c r="L26" s="39"/>
      <c r="O26" s="81">
        <v>1.01</v>
      </c>
      <c r="P26" s="81">
        <f t="shared" si="0"/>
        <v>58.478899000000006</v>
      </c>
    </row>
    <row r="27" spans="1:21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si="1"/>
        <v>-309.00000000000034</v>
      </c>
      <c r="G27" s="39">
        <f t="shared" si="2"/>
        <v>8976</v>
      </c>
      <c r="H27" s="222">
        <f t="shared" si="3"/>
        <v>-3.4425133689839606E-2</v>
      </c>
      <c r="I27" s="39"/>
      <c r="J27" s="39"/>
      <c r="K27" s="39"/>
      <c r="L27" s="39"/>
      <c r="O27" s="81">
        <v>1</v>
      </c>
      <c r="P27" s="81">
        <f t="shared" si="0"/>
        <v>57.899900000000002</v>
      </c>
    </row>
    <row r="28" spans="1:21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si="1"/>
        <v>-760.5</v>
      </c>
      <c r="G28" s="39">
        <f t="shared" si="2"/>
        <v>8976</v>
      </c>
      <c r="H28" s="222">
        <f t="shared" si="3"/>
        <v>-8.4725935828877011E-2</v>
      </c>
      <c r="I28" s="39"/>
      <c r="J28" s="39"/>
      <c r="K28" s="39"/>
      <c r="L28" s="39">
        <v>13.81</v>
      </c>
      <c r="O28" s="81">
        <v>0.99</v>
      </c>
      <c r="P28" s="81">
        <f t="shared" si="0"/>
        <v>57.320900999999999</v>
      </c>
    </row>
    <row r="29" spans="1:21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1"/>
        <v>-577.50000000000023</v>
      </c>
      <c r="G29" s="39">
        <f t="shared" si="2"/>
        <v>8976</v>
      </c>
      <c r="H29" s="222">
        <f t="shared" si="3"/>
        <v>-6.4338235294117668E-2</v>
      </c>
      <c r="I29" s="39"/>
      <c r="J29" s="39"/>
      <c r="K29" s="39"/>
      <c r="L29" s="39">
        <v>14.12</v>
      </c>
      <c r="O29" s="81">
        <v>0.98</v>
      </c>
      <c r="P29" s="81">
        <f t="shared" si="0"/>
        <v>56.741902000000003</v>
      </c>
    </row>
    <row r="30" spans="1:21" x14ac:dyDescent="0.25">
      <c r="A30">
        <v>150</v>
      </c>
      <c r="B30" s="184">
        <v>43283</v>
      </c>
      <c r="C30" s="7">
        <v>200</v>
      </c>
      <c r="D30" s="43">
        <v>58.83</v>
      </c>
      <c r="E30" s="39">
        <v>55.87</v>
      </c>
      <c r="F30" s="39">
        <f t="shared" si="1"/>
        <v>-592.00000000000023</v>
      </c>
      <c r="G30" s="39">
        <f t="shared" si="2"/>
        <v>11766</v>
      </c>
      <c r="H30" s="222">
        <f t="shared" si="3"/>
        <v>-5.0314465408805048E-2</v>
      </c>
      <c r="I30" s="39"/>
      <c r="J30" s="39"/>
      <c r="K30" s="39"/>
      <c r="L30" s="39">
        <v>14.09</v>
      </c>
      <c r="O30" s="81">
        <v>0.97</v>
      </c>
      <c r="P30" s="81">
        <f t="shared" si="0"/>
        <v>56.162903</v>
      </c>
    </row>
    <row r="31" spans="1:21" x14ac:dyDescent="0.25">
      <c r="A31">
        <v>150</v>
      </c>
      <c r="B31" s="184">
        <v>43285</v>
      </c>
      <c r="C31" s="10">
        <v>200</v>
      </c>
      <c r="D31" s="39">
        <v>58.83</v>
      </c>
      <c r="E31" s="39">
        <v>56.46</v>
      </c>
      <c r="F31" s="39">
        <f t="shared" si="1"/>
        <v>-473.99999999999949</v>
      </c>
      <c r="G31" s="39">
        <f t="shared" si="2"/>
        <v>11766</v>
      </c>
      <c r="H31" s="222">
        <f t="shared" si="3"/>
        <v>-4.0285568587455335E-2</v>
      </c>
      <c r="I31" s="39"/>
      <c r="J31" s="39"/>
      <c r="K31" s="39"/>
      <c r="L31" s="39">
        <v>14.24</v>
      </c>
      <c r="O31" s="81">
        <v>0.96</v>
      </c>
      <c r="P31" s="81">
        <f t="shared" si="0"/>
        <v>55.583903999999997</v>
      </c>
    </row>
    <row r="32" spans="1:21" x14ac:dyDescent="0.25">
      <c r="B32" s="184">
        <v>43287</v>
      </c>
      <c r="C32" s="10">
        <v>150</v>
      </c>
      <c r="D32" s="39">
        <v>58.98</v>
      </c>
      <c r="E32" s="39">
        <v>57.63</v>
      </c>
      <c r="F32" s="39">
        <f t="shared" si="1"/>
        <v>-202.49999999999915</v>
      </c>
      <c r="G32" s="39">
        <f t="shared" si="2"/>
        <v>8847</v>
      </c>
      <c r="H32" s="222">
        <f t="shared" si="3"/>
        <v>-2.2889114954221676E-2</v>
      </c>
      <c r="I32" s="39"/>
      <c r="J32" s="39"/>
      <c r="K32" s="39"/>
      <c r="L32" s="39">
        <v>14.53</v>
      </c>
      <c r="O32" s="81">
        <v>0.95</v>
      </c>
      <c r="P32" s="81">
        <f t="shared" si="0"/>
        <v>55.004905000000001</v>
      </c>
    </row>
    <row r="33" spans="1:17" x14ac:dyDescent="0.25">
      <c r="A33" t="s">
        <v>1191</v>
      </c>
      <c r="B33" s="184">
        <v>43291</v>
      </c>
      <c r="C33" s="10">
        <v>150</v>
      </c>
      <c r="D33" s="39">
        <v>58.28</v>
      </c>
      <c r="E33" s="39">
        <v>58.75</v>
      </c>
      <c r="F33" s="39">
        <f t="shared" si="1"/>
        <v>70.499999999999829</v>
      </c>
      <c r="G33" s="39">
        <f t="shared" si="2"/>
        <v>8742</v>
      </c>
      <c r="H33" s="222">
        <f t="shared" si="3"/>
        <v>8.0645161290322388E-3</v>
      </c>
      <c r="I33" s="39"/>
      <c r="J33" s="39"/>
      <c r="K33" s="39"/>
      <c r="L33" s="39">
        <v>14.63</v>
      </c>
      <c r="O33" s="81">
        <v>0.94</v>
      </c>
      <c r="P33" s="81">
        <f t="shared" si="0"/>
        <v>54.425905999999998</v>
      </c>
    </row>
    <row r="34" spans="1:17" x14ac:dyDescent="0.25">
      <c r="A34">
        <v>50</v>
      </c>
      <c r="B34" s="184">
        <v>43291</v>
      </c>
      <c r="C34" s="10">
        <v>100</v>
      </c>
      <c r="D34" s="39">
        <v>58.04</v>
      </c>
      <c r="E34" s="39">
        <v>58.77</v>
      </c>
      <c r="F34" s="39">
        <f t="shared" si="1"/>
        <v>73.000000000000398</v>
      </c>
      <c r="G34" s="39">
        <f t="shared" si="2"/>
        <v>5804</v>
      </c>
      <c r="H34" s="222">
        <f t="shared" si="3"/>
        <v>1.2577532736044176E-2</v>
      </c>
      <c r="I34" s="39"/>
      <c r="J34" s="39"/>
      <c r="K34" s="39"/>
      <c r="L34" s="39">
        <v>14.824999999999999</v>
      </c>
      <c r="O34" s="81">
        <v>0.93</v>
      </c>
      <c r="P34" s="81">
        <f t="shared" si="0"/>
        <v>53.846907000000002</v>
      </c>
    </row>
    <row r="35" spans="1:17" x14ac:dyDescent="0.25">
      <c r="A35">
        <v>50</v>
      </c>
      <c r="B35" s="184">
        <v>43297</v>
      </c>
      <c r="C35" s="7">
        <v>200</v>
      </c>
      <c r="D35" s="43">
        <v>57.732999999999997</v>
      </c>
      <c r="E35" s="39">
        <v>57.43</v>
      </c>
      <c r="F35" s="39">
        <f t="shared" si="1"/>
        <v>-60.599999999999454</v>
      </c>
      <c r="G35" s="39">
        <f t="shared" si="2"/>
        <v>11546.599999999999</v>
      </c>
      <c r="H35" s="222">
        <f t="shared" si="3"/>
        <v>-5.2482982003359824E-3</v>
      </c>
      <c r="I35" s="39"/>
      <c r="J35" s="39"/>
      <c r="K35" s="39"/>
      <c r="L35" s="39">
        <v>14.48</v>
      </c>
      <c r="O35" s="81">
        <v>0.92</v>
      </c>
      <c r="P35" s="81">
        <f t="shared" si="0"/>
        <v>53.267908000000006</v>
      </c>
    </row>
    <row r="36" spans="1:17" x14ac:dyDescent="0.25">
      <c r="B36" s="184">
        <v>43300</v>
      </c>
      <c r="C36" s="425">
        <v>300</v>
      </c>
      <c r="D36" s="426">
        <v>56.948999999999998</v>
      </c>
      <c r="E36" s="39">
        <v>55.38</v>
      </c>
      <c r="F36" s="39">
        <f t="shared" si="1"/>
        <v>-470.69999999999868</v>
      </c>
      <c r="G36" s="39">
        <f t="shared" si="2"/>
        <v>17084.7</v>
      </c>
      <c r="H36" s="222">
        <f t="shared" si="3"/>
        <v>-2.7550966654374891E-2</v>
      </c>
      <c r="I36" s="39"/>
      <c r="J36" s="39"/>
      <c r="K36" s="39"/>
      <c r="L36" s="39"/>
      <c r="O36" s="81">
        <v>0.91</v>
      </c>
      <c r="P36" s="81">
        <f t="shared" si="0"/>
        <v>52.688909000000002</v>
      </c>
    </row>
    <row r="37" spans="1:17" x14ac:dyDescent="0.25">
      <c r="A37">
        <v>0</v>
      </c>
      <c r="B37" s="184">
        <v>43300</v>
      </c>
      <c r="C37" s="10">
        <v>250</v>
      </c>
      <c r="D37" s="39">
        <v>57.048000000000002</v>
      </c>
      <c r="E37" s="39">
        <v>56.45</v>
      </c>
      <c r="F37" s="39">
        <f t="shared" si="1"/>
        <v>-149.49999999999974</v>
      </c>
      <c r="G37" s="39">
        <f t="shared" si="2"/>
        <v>14262</v>
      </c>
      <c r="H37" s="222">
        <f t="shared" si="3"/>
        <v>-1.0482400785303585E-2</v>
      </c>
      <c r="I37" s="39"/>
      <c r="J37" s="39"/>
      <c r="K37" s="39"/>
      <c r="L37" s="39">
        <v>14.24</v>
      </c>
      <c r="O37" s="81">
        <v>0.9</v>
      </c>
      <c r="P37" s="81">
        <f t="shared" si="0"/>
        <v>52.109910000000006</v>
      </c>
    </row>
    <row r="38" spans="1:17" x14ac:dyDescent="0.25">
      <c r="A38">
        <v>0</v>
      </c>
      <c r="B38" s="184">
        <v>43303</v>
      </c>
      <c r="C38" s="10">
        <v>250</v>
      </c>
      <c r="D38" s="39">
        <v>57.05</v>
      </c>
      <c r="E38" s="39">
        <v>57.64</v>
      </c>
      <c r="F38" s="39">
        <f t="shared" si="1"/>
        <v>147.50000000000085</v>
      </c>
      <c r="G38" s="39">
        <f t="shared" si="2"/>
        <v>14262.5</v>
      </c>
      <c r="H38" s="222">
        <f t="shared" si="3"/>
        <v>1.0341805433830033E-2</v>
      </c>
      <c r="I38" s="39"/>
      <c r="J38" s="39"/>
      <c r="K38" s="39"/>
      <c r="L38" s="39">
        <v>14.54</v>
      </c>
    </row>
    <row r="39" spans="1:17" x14ac:dyDescent="0.25">
      <c r="A39">
        <v>0</v>
      </c>
      <c r="B39" s="184">
        <v>43307</v>
      </c>
      <c r="C39" s="10">
        <v>250</v>
      </c>
      <c r="D39" s="39">
        <v>57.05</v>
      </c>
      <c r="E39" s="39">
        <v>56.1</v>
      </c>
      <c r="F39" s="39">
        <f t="shared" ref="F39" si="4">C39*(E39-D39)</f>
        <v>-237.49999999999892</v>
      </c>
      <c r="G39" s="39">
        <f t="shared" ref="G39" si="5">D39*C39</f>
        <v>14262.5</v>
      </c>
      <c r="H39" s="222">
        <f t="shared" ref="H39" si="6">(E39-D39)/D39</f>
        <v>-1.66520595968448E-2</v>
      </c>
      <c r="I39" s="39"/>
      <c r="J39" s="39"/>
      <c r="K39" s="39"/>
      <c r="L39" s="39">
        <v>14.08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662</v>
      </c>
      <c r="L88" s="220" t="s">
        <v>668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22" priority="35">
      <formula>F47&gt;0</formula>
    </cfRule>
    <cfRule type="expression" dxfId="1621" priority="36">
      <formula>F47&lt;0</formula>
    </cfRule>
  </conditionalFormatting>
  <conditionalFormatting sqref="Q7">
    <cfRule type="expression" dxfId="1620" priority="33">
      <formula>Q7&gt;0</formula>
    </cfRule>
    <cfRule type="expression" dxfId="1619" priority="34">
      <formula>Q7&lt;0</formula>
    </cfRule>
  </conditionalFormatting>
  <conditionalFormatting sqref="Q8">
    <cfRule type="expression" dxfId="1618" priority="31">
      <formula>Q8&gt;0</formula>
    </cfRule>
    <cfRule type="expression" dxfId="1617" priority="32">
      <formula>Q8&lt;0</formula>
    </cfRule>
  </conditionalFormatting>
  <conditionalFormatting sqref="F30:F46">
    <cfRule type="expression" dxfId="1616" priority="29">
      <formula>F30&gt;0</formula>
    </cfRule>
    <cfRule type="expression" dxfId="1615" priority="30">
      <formula>F30&lt;0</formula>
    </cfRule>
  </conditionalFormatting>
  <conditionalFormatting sqref="H30:H46">
    <cfRule type="expression" dxfId="1614" priority="27">
      <formula>H30&gt;0</formula>
    </cfRule>
    <cfRule type="expression" dxfId="1613" priority="28">
      <formula>H30&lt;0</formula>
    </cfRule>
  </conditionalFormatting>
  <conditionalFormatting sqref="Q10">
    <cfRule type="expression" dxfId="1612" priority="25">
      <formula>Q10&gt;0</formula>
    </cfRule>
    <cfRule type="expression" dxfId="1611" priority="26">
      <formula>Q10&lt;0</formula>
    </cfRule>
  </conditionalFormatting>
  <conditionalFormatting sqref="J25:J39">
    <cfRule type="expression" dxfId="1610" priority="23">
      <formula>J25&gt;0</formula>
    </cfRule>
    <cfRule type="expression" dxfId="1609" priority="24">
      <formula>J25&lt;0</formula>
    </cfRule>
  </conditionalFormatting>
  <conditionalFormatting sqref="K25:K39">
    <cfRule type="expression" dxfId="1608" priority="21">
      <formula>K25&gt;0</formula>
    </cfRule>
    <cfRule type="expression" dxfId="1607" priority="22">
      <formula>K25&lt;0</formula>
    </cfRule>
  </conditionalFormatting>
  <conditionalFormatting sqref="L25">
    <cfRule type="expression" dxfId="1606" priority="19">
      <formula>L25&gt;0</formula>
    </cfRule>
    <cfRule type="expression" dxfId="1605" priority="20">
      <formula>L25&lt;0</formula>
    </cfRule>
  </conditionalFormatting>
  <conditionalFormatting sqref="F89:F110">
    <cfRule type="expression" dxfId="1604" priority="17">
      <formula>F89&gt;0</formula>
    </cfRule>
    <cfRule type="expression" dxfId="1603" priority="18">
      <formula>F89&lt;0</formula>
    </cfRule>
  </conditionalFormatting>
  <conditionalFormatting sqref="H89:H110">
    <cfRule type="expression" dxfId="1602" priority="15">
      <formula>H89&gt;0</formula>
    </cfRule>
    <cfRule type="expression" dxfId="1601" priority="16">
      <formula>H89&lt;0</formula>
    </cfRule>
  </conditionalFormatting>
  <conditionalFormatting sqref="J89:J102">
    <cfRule type="expression" dxfId="1600" priority="13">
      <formula>J89&gt;0</formula>
    </cfRule>
    <cfRule type="expression" dxfId="1599" priority="14">
      <formula>J89&lt;0</formula>
    </cfRule>
  </conditionalFormatting>
  <conditionalFormatting sqref="K89:K102">
    <cfRule type="expression" dxfId="1598" priority="11">
      <formula>K89&gt;0</formula>
    </cfRule>
    <cfRule type="expression" dxfId="1597" priority="12">
      <formula>K89&lt;0</formula>
    </cfRule>
  </conditionalFormatting>
  <conditionalFormatting sqref="L89:L102">
    <cfRule type="expression" dxfId="1596" priority="9">
      <formula>L89&gt;0</formula>
    </cfRule>
    <cfRule type="expression" dxfId="1595" priority="10">
      <formula>L89&lt;0</formula>
    </cfRule>
  </conditionalFormatting>
  <conditionalFormatting sqref="F25 F29">
    <cfRule type="expression" dxfId="1594" priority="7">
      <formula>F25&gt;0</formula>
    </cfRule>
    <cfRule type="expression" dxfId="1593" priority="8">
      <formula>F25&lt;0</formula>
    </cfRule>
  </conditionalFormatting>
  <conditionalFormatting sqref="H25 H29">
    <cfRule type="expression" dxfId="1592" priority="5">
      <formula>H25&gt;0</formula>
    </cfRule>
    <cfRule type="expression" dxfId="1591" priority="6">
      <formula>H25&lt;0</formula>
    </cfRule>
  </conditionalFormatting>
  <conditionalFormatting sqref="F26:F28">
    <cfRule type="expression" dxfId="1590" priority="3">
      <formula>F26&gt;0</formula>
    </cfRule>
    <cfRule type="expression" dxfId="1589" priority="4">
      <formula>F26&lt;0</formula>
    </cfRule>
  </conditionalFormatting>
  <conditionalFormatting sqref="H26:H28">
    <cfRule type="expression" dxfId="1588" priority="1">
      <formula>H26&gt;0</formula>
    </cfRule>
    <cfRule type="expression" dxfId="1587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912</v>
      </c>
      <c r="B2" s="434">
        <v>43136</v>
      </c>
      <c r="C2" s="4">
        <v>100</v>
      </c>
      <c r="D2" s="3">
        <v>36.58</v>
      </c>
      <c r="E2" s="3">
        <v>0</v>
      </c>
      <c r="F2" s="3">
        <f t="shared" ref="F2:F11" si="0"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>H2*I2-J2</f>
        <v>3348.92</v>
      </c>
      <c r="L2" s="72">
        <v>43222</v>
      </c>
      <c r="M2" s="43">
        <v>50</v>
      </c>
      <c r="O2" s="11" t="s">
        <v>57</v>
      </c>
      <c r="Q2">
        <f>C18-H18</f>
        <v>1500</v>
      </c>
      <c r="T2" s="1"/>
      <c r="U2" t="s">
        <v>1082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>H3*I3-J3</f>
        <v>3449.96</v>
      </c>
      <c r="L3" s="4"/>
      <c r="M3" s="4"/>
      <c r="O3" s="11" t="s">
        <v>58</v>
      </c>
      <c r="Q3" s="221">
        <f>IF(Q2=0, Q4, (F18-K18-M18)/Q2)</f>
        <v>30.81010666666667</v>
      </c>
      <c r="T3" s="1">
        <v>43215</v>
      </c>
      <c r="U3" t="s">
        <v>1021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>H4*I4-J4</f>
        <v>3288.96</v>
      </c>
      <c r="L4" s="4"/>
      <c r="M4" s="4"/>
      <c r="O4" s="11" t="s">
        <v>66</v>
      </c>
      <c r="Q4" s="54">
        <v>31.08</v>
      </c>
      <c r="R4" s="495">
        <v>2.41E-2</v>
      </c>
      <c r="T4" s="770"/>
      <c r="U4" s="30" t="s">
        <v>1022</v>
      </c>
    </row>
    <row r="5" spans="1:21" x14ac:dyDescent="0.25">
      <c r="B5" s="72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46620</v>
      </c>
    </row>
    <row r="6" spans="1:21" x14ac:dyDescent="0.25">
      <c r="B6" s="474">
        <v>43292</v>
      </c>
      <c r="C6" s="4">
        <v>100</v>
      </c>
      <c r="D6" s="3">
        <v>32.090000000000003</v>
      </c>
      <c r="E6" s="3">
        <v>0</v>
      </c>
      <c r="F6" s="3">
        <f t="shared" si="0"/>
        <v>3209.0000000000005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46215.16</v>
      </c>
      <c r="T6" s="1">
        <v>43216</v>
      </c>
      <c r="U6" t="s">
        <v>1023</v>
      </c>
    </row>
    <row r="7" spans="1:21" x14ac:dyDescent="0.25">
      <c r="B7" s="474">
        <v>43294</v>
      </c>
      <c r="C7" s="4">
        <v>100</v>
      </c>
      <c r="D7" s="3">
        <v>31.55</v>
      </c>
      <c r="E7" s="3">
        <v>0</v>
      </c>
      <c r="F7" s="3">
        <f t="shared" si="0"/>
        <v>3155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404.83999999999651</v>
      </c>
      <c r="R7">
        <v>100</v>
      </c>
    </row>
    <row r="8" spans="1:21" x14ac:dyDescent="0.25">
      <c r="B8" s="474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404.83999999999651</v>
      </c>
      <c r="T8" s="1">
        <v>43294</v>
      </c>
      <c r="U8" t="s">
        <v>1195</v>
      </c>
    </row>
    <row r="9" spans="1:21" x14ac:dyDescent="0.25">
      <c r="B9" s="474">
        <v>43306</v>
      </c>
      <c r="C9" s="4">
        <v>600</v>
      </c>
      <c r="D9" s="3">
        <v>30.48</v>
      </c>
      <c r="E9" s="3">
        <v>0</v>
      </c>
      <c r="F9" s="3">
        <f t="shared" si="0"/>
        <v>18288</v>
      </c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8.7598961033564845E-3</v>
      </c>
      <c r="T9" s="770"/>
    </row>
    <row r="10" spans="1:21" x14ac:dyDescent="0.25">
      <c r="B10" s="474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6.4350064350064351E-2</v>
      </c>
      <c r="R11">
        <v>0.5</v>
      </c>
    </row>
    <row r="12" spans="1:21" x14ac:dyDescent="0.25">
      <c r="H12" s="70"/>
      <c r="O12" s="11" t="s">
        <v>938</v>
      </c>
      <c r="Q12" s="1" t="s">
        <v>1208</v>
      </c>
      <c r="T12" s="1">
        <v>43305</v>
      </c>
      <c r="U12" t="s">
        <v>869</v>
      </c>
    </row>
    <row r="13" spans="1:21" x14ac:dyDescent="0.25">
      <c r="H13" s="70"/>
      <c r="O13" s="11" t="s">
        <v>965</v>
      </c>
      <c r="Q13" s="2">
        <f>Q4/3.47</f>
        <v>8.9567723342939463</v>
      </c>
    </row>
    <row r="14" spans="1:21" x14ac:dyDescent="0.25">
      <c r="H14" s="70"/>
      <c r="O14" s="11" t="s">
        <v>1233</v>
      </c>
      <c r="Q14" s="29">
        <v>43309</v>
      </c>
      <c r="T14" s="1">
        <v>43308</v>
      </c>
      <c r="U14" t="s">
        <v>1231</v>
      </c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SUM(C2:C11)</f>
        <v>1800</v>
      </c>
      <c r="D18" s="18"/>
      <c r="E18" s="18"/>
      <c r="F18" s="18">
        <f>SUM(F2:F11)</f>
        <v>56353</v>
      </c>
      <c r="G18" s="14"/>
      <c r="H18" s="71">
        <f>SUM(H2:H17)</f>
        <v>300</v>
      </c>
      <c r="I18" s="18"/>
      <c r="J18" s="18"/>
      <c r="K18" s="18">
        <f>SUM(K2:K17)</f>
        <v>10087.84</v>
      </c>
      <c r="L18" s="14"/>
      <c r="M18" s="18">
        <f>SUM(M2:M10)</f>
        <v>50</v>
      </c>
    </row>
    <row r="19" spans="1:13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9701</v>
      </c>
      <c r="G19" s="343"/>
      <c r="H19" s="343">
        <f>SumByColor($A$19,H2:H17)</f>
        <v>300</v>
      </c>
      <c r="I19" s="343"/>
      <c r="J19" s="343"/>
      <c r="K19" s="344">
        <f>SumByColor($A$19,K2:K17)</f>
        <v>10088</v>
      </c>
      <c r="L19" s="343"/>
      <c r="M19" s="344">
        <f>SumByColor($A$19,M2:M17)</f>
        <v>50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662</v>
      </c>
      <c r="L24" s="220" t="s">
        <v>965</v>
      </c>
    </row>
    <row r="25" spans="1:13" x14ac:dyDescent="0.25">
      <c r="B25" s="184">
        <v>43185</v>
      </c>
      <c r="C25" s="10">
        <v>100</v>
      </c>
      <c r="D25" s="39">
        <v>36.58</v>
      </c>
      <c r="E25" s="39">
        <v>34.69</v>
      </c>
      <c r="F25" s="39">
        <f t="shared" ref="F25:F40" si="1">C25*(E25-D25)</f>
        <v>-189.00000000000006</v>
      </c>
      <c r="G25" s="39">
        <f t="shared" ref="G25:G40" si="2">D25*C25</f>
        <v>3658</v>
      </c>
      <c r="H25" s="222">
        <f t="shared" ref="H25:H40" si="3">(E25-D25)/D25</f>
        <v>-5.166757791142703E-2</v>
      </c>
      <c r="I25" s="39"/>
      <c r="J25" s="39"/>
      <c r="K25" s="39"/>
      <c r="L25" s="39"/>
    </row>
    <row r="26" spans="1:13" x14ac:dyDescent="0.25">
      <c r="A26">
        <v>100</v>
      </c>
      <c r="B26" s="184">
        <v>43216</v>
      </c>
      <c r="C26" s="10">
        <v>200</v>
      </c>
      <c r="D26" s="39">
        <v>34.630000000000003</v>
      </c>
      <c r="E26" s="39">
        <v>33.1</v>
      </c>
      <c r="F26" s="39">
        <f t="shared" si="1"/>
        <v>-306.00000000000023</v>
      </c>
      <c r="G26" s="39">
        <f t="shared" si="2"/>
        <v>6926.0000000000009</v>
      </c>
      <c r="H26" s="222">
        <f t="shared" si="3"/>
        <v>-4.4181345654057208E-2</v>
      </c>
      <c r="I26" s="39">
        <v>34</v>
      </c>
      <c r="J26" s="39"/>
      <c r="K26" s="39"/>
      <c r="L26" s="39"/>
    </row>
    <row r="27" spans="1:13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si="1"/>
        <v>-228.00000000000011</v>
      </c>
      <c r="G27" s="39">
        <f t="shared" si="2"/>
        <v>3577.0000000000005</v>
      </c>
      <c r="H27" s="222">
        <f t="shared" si="3"/>
        <v>-6.3740564719038328E-2</v>
      </c>
      <c r="I27" s="39">
        <v>35.25</v>
      </c>
      <c r="J27" s="39"/>
      <c r="K27" s="39"/>
      <c r="L27" s="155"/>
    </row>
    <row r="28" spans="1:13" x14ac:dyDescent="0.25">
      <c r="A28">
        <v>0</v>
      </c>
      <c r="B28" s="184">
        <v>43222</v>
      </c>
      <c r="C28" s="10">
        <v>100</v>
      </c>
      <c r="D28" s="39">
        <v>35.270800000000001</v>
      </c>
      <c r="E28" s="39">
        <v>32.06</v>
      </c>
      <c r="F28" s="39">
        <f t="shared" si="1"/>
        <v>-321.07999999999993</v>
      </c>
      <c r="G28" s="39">
        <f t="shared" si="2"/>
        <v>3527.08</v>
      </c>
      <c r="H28" s="222">
        <f t="shared" si="3"/>
        <v>-9.1032809009152019E-2</v>
      </c>
      <c r="I28" s="39"/>
      <c r="J28" s="39"/>
      <c r="K28" s="39"/>
      <c r="L28" s="155"/>
    </row>
    <row r="29" spans="1:13" x14ac:dyDescent="0.25">
      <c r="A29">
        <v>0</v>
      </c>
      <c r="B29" s="184">
        <v>43222</v>
      </c>
      <c r="C29" s="10">
        <v>200</v>
      </c>
      <c r="D29" s="39">
        <v>33.675400000000003</v>
      </c>
      <c r="E29" s="39">
        <v>34.18</v>
      </c>
      <c r="F29" s="39">
        <f t="shared" si="1"/>
        <v>100.91999999999928</v>
      </c>
      <c r="G29" s="39">
        <f t="shared" si="2"/>
        <v>6735.0800000000008</v>
      </c>
      <c r="H29" s="222">
        <f t="shared" si="3"/>
        <v>1.4984231813133514E-2</v>
      </c>
      <c r="I29" s="39">
        <v>33.5</v>
      </c>
      <c r="J29" s="39"/>
      <c r="K29" s="39"/>
      <c r="L29" s="155"/>
    </row>
    <row r="30" spans="1:13" x14ac:dyDescent="0.25">
      <c r="A30">
        <v>200</v>
      </c>
      <c r="B30" s="184">
        <v>43263</v>
      </c>
      <c r="C30" s="10">
        <v>100</v>
      </c>
      <c r="D30" s="39">
        <v>32.851199999999999</v>
      </c>
      <c r="E30" s="39">
        <v>34.35</v>
      </c>
      <c r="F30" s="39">
        <f t="shared" si="1"/>
        <v>149.88000000000028</v>
      </c>
      <c r="G30" s="39">
        <f t="shared" si="2"/>
        <v>3285.12</v>
      </c>
      <c r="H30" s="222">
        <f t="shared" si="3"/>
        <v>4.5623904149620191E-2</v>
      </c>
      <c r="I30" s="193" t="s">
        <v>1118</v>
      </c>
      <c r="J30" s="39"/>
      <c r="K30" s="39"/>
      <c r="L30" s="155"/>
    </row>
    <row r="31" spans="1:13" x14ac:dyDescent="0.25">
      <c r="B31" s="184">
        <v>43264</v>
      </c>
      <c r="C31" s="10">
        <v>200</v>
      </c>
      <c r="D31" s="39">
        <v>32.550600000000003</v>
      </c>
      <c r="E31" s="39">
        <v>32.22</v>
      </c>
      <c r="F31" s="39">
        <f t="shared" si="1"/>
        <v>-66.1200000000008</v>
      </c>
      <c r="G31" s="39">
        <f t="shared" si="2"/>
        <v>6510.1200000000008</v>
      </c>
      <c r="H31" s="222">
        <f t="shared" si="3"/>
        <v>-1.0156494811155678E-2</v>
      </c>
      <c r="I31" s="193" t="s">
        <v>1120</v>
      </c>
      <c r="J31" s="39"/>
      <c r="K31" s="39"/>
      <c r="L31" s="155"/>
    </row>
    <row r="32" spans="1:13" x14ac:dyDescent="0.25">
      <c r="B32" s="184">
        <v>43265</v>
      </c>
      <c r="C32" s="10">
        <v>100</v>
      </c>
      <c r="D32" s="39">
        <v>32.211599999999997</v>
      </c>
      <c r="E32" s="39">
        <v>32.520000000000003</v>
      </c>
      <c r="F32" s="39">
        <f t="shared" si="1"/>
        <v>30.8400000000006</v>
      </c>
      <c r="G32" s="39">
        <f t="shared" si="2"/>
        <v>3221.16</v>
      </c>
      <c r="H32" s="222">
        <f t="shared" si="3"/>
        <v>9.5741906642329479E-3</v>
      </c>
      <c r="I32" s="39">
        <v>32</v>
      </c>
      <c r="J32" s="39"/>
      <c r="K32" s="39"/>
      <c r="L32" s="155"/>
    </row>
    <row r="33" spans="1:17" x14ac:dyDescent="0.25">
      <c r="B33" s="184">
        <v>43292</v>
      </c>
      <c r="C33" s="10">
        <v>200</v>
      </c>
      <c r="D33" s="39">
        <v>32.150799999999997</v>
      </c>
      <c r="E33" s="39">
        <v>32.090000000000003</v>
      </c>
      <c r="F33" s="39">
        <f t="shared" si="1"/>
        <v>-12.159999999998661</v>
      </c>
      <c r="G33" s="39">
        <f t="shared" si="2"/>
        <v>6430.1599999999989</v>
      </c>
      <c r="H33" s="222">
        <f t="shared" si="3"/>
        <v>-1.8910882466375116E-3</v>
      </c>
      <c r="I33" s="39">
        <v>32</v>
      </c>
      <c r="J33" s="39"/>
      <c r="K33" s="39"/>
      <c r="L33" s="155"/>
    </row>
    <row r="34" spans="1:17" x14ac:dyDescent="0.25">
      <c r="B34" s="184">
        <v>43294</v>
      </c>
      <c r="C34" s="10">
        <v>300</v>
      </c>
      <c r="D34" s="39">
        <v>31.950500000000002</v>
      </c>
      <c r="E34" s="39">
        <v>31.67</v>
      </c>
      <c r="F34" s="39">
        <f t="shared" si="1"/>
        <v>-84.149999999999991</v>
      </c>
      <c r="G34" s="39">
        <f t="shared" si="2"/>
        <v>9585.15</v>
      </c>
      <c r="H34" s="222">
        <f t="shared" si="3"/>
        <v>-8.7792053332498704E-3</v>
      </c>
      <c r="I34" s="39">
        <v>31.5</v>
      </c>
      <c r="J34" s="39"/>
      <c r="K34" s="39"/>
      <c r="L34" s="39"/>
    </row>
    <row r="35" spans="1:17" x14ac:dyDescent="0.25">
      <c r="B35" s="184">
        <v>43297</v>
      </c>
      <c r="C35" s="10">
        <v>300</v>
      </c>
      <c r="D35" s="39">
        <v>31.950500000000002</v>
      </c>
      <c r="E35" s="39">
        <v>31.9</v>
      </c>
      <c r="F35" s="39">
        <f t="shared" si="1"/>
        <v>-15.150000000000929</v>
      </c>
      <c r="G35" s="39">
        <f t="shared" si="2"/>
        <v>9585.15</v>
      </c>
      <c r="H35" s="222">
        <f t="shared" si="3"/>
        <v>-1.5805699441324265E-3</v>
      </c>
      <c r="I35" s="39"/>
      <c r="J35" s="39"/>
      <c r="K35" s="39"/>
      <c r="L35" s="39"/>
    </row>
    <row r="36" spans="1:17" x14ac:dyDescent="0.25">
      <c r="A36">
        <v>100</v>
      </c>
      <c r="B36" s="184">
        <v>43303</v>
      </c>
      <c r="C36" s="10">
        <v>300</v>
      </c>
      <c r="D36" s="39">
        <v>31.95</v>
      </c>
      <c r="E36" s="39">
        <v>31.1</v>
      </c>
      <c r="F36" s="39">
        <f t="shared" si="1"/>
        <v>-254.99999999999937</v>
      </c>
      <c r="G36" s="39">
        <f t="shared" si="2"/>
        <v>9585</v>
      </c>
      <c r="H36" s="222">
        <f t="shared" si="3"/>
        <v>-2.6604068857589917E-2</v>
      </c>
      <c r="I36" s="39"/>
      <c r="J36" s="39"/>
      <c r="K36" s="39"/>
      <c r="L36" s="39">
        <v>8.9600000000000009</v>
      </c>
    </row>
    <row r="37" spans="1:17" x14ac:dyDescent="0.25">
      <c r="B37" s="184">
        <v>43306</v>
      </c>
      <c r="C37" s="7">
        <v>600</v>
      </c>
      <c r="D37" s="43">
        <v>31.420300000000001</v>
      </c>
      <c r="E37" s="39">
        <v>30.89</v>
      </c>
      <c r="F37" s="39">
        <f t="shared" si="1"/>
        <v>-318.18000000000029</v>
      </c>
      <c r="G37" s="39">
        <f t="shared" si="2"/>
        <v>18852.18</v>
      </c>
      <c r="H37" s="222">
        <f t="shared" si="3"/>
        <v>-1.6877623701874279E-2</v>
      </c>
      <c r="I37" s="39"/>
      <c r="J37" s="39"/>
      <c r="K37" s="39"/>
      <c r="L37" s="39"/>
    </row>
    <row r="38" spans="1:17" x14ac:dyDescent="0.25">
      <c r="B38" s="184">
        <v>43306</v>
      </c>
      <c r="C38" s="425">
        <v>1200</v>
      </c>
      <c r="D38" s="426">
        <v>30.95</v>
      </c>
      <c r="E38" s="39">
        <v>30.48</v>
      </c>
      <c r="F38" s="39">
        <f t="shared" si="1"/>
        <v>-563.99999999999864</v>
      </c>
      <c r="G38" s="39">
        <f t="shared" si="2"/>
        <v>37140</v>
      </c>
      <c r="H38" s="222">
        <f t="shared" si="3"/>
        <v>-1.5185783521809333E-2</v>
      </c>
      <c r="I38" s="39"/>
      <c r="J38" s="39"/>
      <c r="K38" s="39"/>
      <c r="L38" s="39"/>
    </row>
    <row r="39" spans="1:17" x14ac:dyDescent="0.25">
      <c r="B39" s="184">
        <v>43306</v>
      </c>
      <c r="C39" s="10">
        <v>1500</v>
      </c>
      <c r="D39" s="39">
        <v>30.81</v>
      </c>
      <c r="E39" s="39">
        <v>30.25</v>
      </c>
      <c r="F39" s="39">
        <f t="shared" si="1"/>
        <v>-839.99999999999807</v>
      </c>
      <c r="G39" s="39">
        <f t="shared" si="2"/>
        <v>46215</v>
      </c>
      <c r="H39" s="222">
        <f t="shared" si="3"/>
        <v>-1.8175916910094084E-2</v>
      </c>
      <c r="I39" s="39"/>
      <c r="J39" s="39"/>
      <c r="K39" s="39"/>
      <c r="L39" s="39"/>
    </row>
    <row r="40" spans="1:17" ht="20.25" thickBot="1" x14ac:dyDescent="0.35">
      <c r="A40">
        <v>100</v>
      </c>
      <c r="B40" s="184">
        <v>43308</v>
      </c>
      <c r="C40" s="10">
        <v>1500</v>
      </c>
      <c r="D40" s="39">
        <v>30.81</v>
      </c>
      <c r="E40" s="39">
        <v>31.08</v>
      </c>
      <c r="F40" s="39">
        <f t="shared" si="1"/>
        <v>404.99999999999937</v>
      </c>
      <c r="G40" s="39">
        <f t="shared" si="2"/>
        <v>46215</v>
      </c>
      <c r="H40" s="222">
        <f t="shared" si="3"/>
        <v>8.7633885102239399E-3</v>
      </c>
      <c r="I40" s="39"/>
      <c r="J40" s="39"/>
      <c r="K40" s="39"/>
      <c r="L40" s="39">
        <v>8.9600000000000009</v>
      </c>
      <c r="O40" s="857" t="s">
        <v>78</v>
      </c>
      <c r="P40" s="857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34.188000000000002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4">O42*$Q$4</f>
        <v>33.877200000000002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4"/>
        <v>33.566400000000002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4"/>
        <v>33.255600000000001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4"/>
        <v>32.944800000000001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4"/>
        <v>32.634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4"/>
        <v>32.3232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4"/>
        <v>32.0124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4"/>
        <v>31.701599999999999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4"/>
        <v>31.390799999999999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4"/>
        <v>31.08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4"/>
        <v>30.769199999999998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4"/>
        <v>30.458399999999997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4"/>
        <v>30.147599999999997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4"/>
        <v>29.836799999999997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4"/>
        <v>29.525999999999996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4"/>
        <v>29.215199999999996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4"/>
        <v>28.904399999999999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4"/>
        <v>28.593599999999999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4"/>
        <v>28.282799999999998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4"/>
        <v>27.971999999999998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912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662</v>
      </c>
      <c r="L88" s="220" t="s">
        <v>668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86" priority="31">
      <formula>F47&gt;0</formula>
    </cfRule>
    <cfRule type="expression" dxfId="1585" priority="32">
      <formula>F47&lt;0</formula>
    </cfRule>
  </conditionalFormatting>
  <conditionalFormatting sqref="Q7">
    <cfRule type="expression" dxfId="1584" priority="29">
      <formula>Q7&gt;0</formula>
    </cfRule>
    <cfRule type="expression" dxfId="1583" priority="30">
      <formula>Q7&lt;0</formula>
    </cfRule>
  </conditionalFormatting>
  <conditionalFormatting sqref="Q8">
    <cfRule type="expression" dxfId="1582" priority="27">
      <formula>Q8&gt;0</formula>
    </cfRule>
    <cfRule type="expression" dxfId="1581" priority="28">
      <formula>Q8&lt;0</formula>
    </cfRule>
  </conditionalFormatting>
  <conditionalFormatting sqref="F30:F46">
    <cfRule type="expression" dxfId="1580" priority="25">
      <formula>F30&gt;0</formula>
    </cfRule>
    <cfRule type="expression" dxfId="1579" priority="26">
      <formula>F30&lt;0</formula>
    </cfRule>
  </conditionalFormatting>
  <conditionalFormatting sqref="H30:H46">
    <cfRule type="expression" dxfId="1578" priority="23">
      <formula>H30&gt;0</formula>
    </cfRule>
    <cfRule type="expression" dxfId="1577" priority="24">
      <formula>H30&lt;0</formula>
    </cfRule>
  </conditionalFormatting>
  <conditionalFormatting sqref="Q10">
    <cfRule type="expression" dxfId="1576" priority="21">
      <formula>Q10&gt;0</formula>
    </cfRule>
    <cfRule type="expression" dxfId="1575" priority="22">
      <formula>Q10&lt;0</formula>
    </cfRule>
  </conditionalFormatting>
  <conditionalFormatting sqref="J25:J38">
    <cfRule type="expression" dxfId="1574" priority="19">
      <formula>J25&gt;0</formula>
    </cfRule>
    <cfRule type="expression" dxfId="1573" priority="20">
      <formula>J25&lt;0</formula>
    </cfRule>
  </conditionalFormatting>
  <conditionalFormatting sqref="K25:K38">
    <cfRule type="expression" dxfId="1572" priority="17">
      <formula>K25&gt;0</formula>
    </cfRule>
    <cfRule type="expression" dxfId="1571" priority="18">
      <formula>K25&lt;0</formula>
    </cfRule>
  </conditionalFormatting>
  <conditionalFormatting sqref="L25:L33">
    <cfRule type="expression" dxfId="1570" priority="15">
      <formula>L25&gt;0</formula>
    </cfRule>
    <cfRule type="expression" dxfId="1569" priority="16">
      <formula>L25&lt;0</formula>
    </cfRule>
  </conditionalFormatting>
  <conditionalFormatting sqref="F89:F110">
    <cfRule type="expression" dxfId="1568" priority="13">
      <formula>F89&gt;0</formula>
    </cfRule>
    <cfRule type="expression" dxfId="1567" priority="14">
      <formula>F89&lt;0</formula>
    </cfRule>
  </conditionalFormatting>
  <conditionalFormatting sqref="H89:H110">
    <cfRule type="expression" dxfId="1566" priority="11">
      <formula>H89&gt;0</formula>
    </cfRule>
    <cfRule type="expression" dxfId="1565" priority="12">
      <formula>H89&lt;0</formula>
    </cfRule>
  </conditionalFormatting>
  <conditionalFormatting sqref="J89:J102">
    <cfRule type="expression" dxfId="1564" priority="9">
      <formula>J89&gt;0</formula>
    </cfRule>
    <cfRule type="expression" dxfId="1563" priority="10">
      <formula>J89&lt;0</formula>
    </cfRule>
  </conditionalFormatting>
  <conditionalFormatting sqref="K89:K102">
    <cfRule type="expression" dxfId="1562" priority="7">
      <formula>K89&gt;0</formula>
    </cfRule>
    <cfRule type="expression" dxfId="1561" priority="8">
      <formula>K89&lt;0</formula>
    </cfRule>
  </conditionalFormatting>
  <conditionalFormatting sqref="L89:L102">
    <cfRule type="expression" dxfId="1560" priority="5">
      <formula>L89&gt;0</formula>
    </cfRule>
    <cfRule type="expression" dxfId="1559" priority="6">
      <formula>L89&lt;0</formula>
    </cfRule>
  </conditionalFormatting>
  <conditionalFormatting sqref="F25:F29">
    <cfRule type="expression" dxfId="1558" priority="3">
      <formula>F25&gt;0</formula>
    </cfRule>
    <cfRule type="expression" dxfId="1557" priority="4">
      <formula>F25&lt;0</formula>
    </cfRule>
  </conditionalFormatting>
  <conditionalFormatting sqref="H25:H29">
    <cfRule type="expression" dxfId="1556" priority="1">
      <formula>H25&gt;0</formula>
    </cfRule>
    <cfRule type="expression" dxfId="155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674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210.94990000000001</v>
      </c>
      <c r="T3" s="1"/>
      <c r="W3" s="134"/>
    </row>
    <row r="4" spans="1:23" x14ac:dyDescent="0.25">
      <c r="B4" s="434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434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210.94990000000001</v>
      </c>
      <c r="R4" s="495">
        <v>3.5999999999999999E-3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1411.7400000000016</v>
      </c>
      <c r="T8" s="1">
        <v>43237</v>
      </c>
      <c r="U8" t="s">
        <v>1080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W9" s="134"/>
    </row>
    <row r="10" spans="1:23" x14ac:dyDescent="0.25">
      <c r="H10" s="70"/>
      <c r="O10" s="11" t="s">
        <v>206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2.370231035899993E-3</v>
      </c>
      <c r="S11">
        <v>0.5</v>
      </c>
      <c r="W11" s="134"/>
    </row>
    <row r="12" spans="1:23" x14ac:dyDescent="0.25">
      <c r="H12" s="70"/>
      <c r="O12" s="11" t="s">
        <v>938</v>
      </c>
      <c r="Q12" s="1"/>
      <c r="W12" s="134"/>
    </row>
    <row r="13" spans="1:23" x14ac:dyDescent="0.25">
      <c r="H13" s="70"/>
      <c r="O13" s="11" t="s">
        <v>965</v>
      </c>
      <c r="Q13">
        <f>Q4/6.86</f>
        <v>30.750714285714285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70</v>
      </c>
      <c r="D19" s="343"/>
      <c r="E19" s="343"/>
      <c r="F19" s="344">
        <f>SumByColor($A$19,F2:F17)</f>
        <v>11465</v>
      </c>
      <c r="G19" s="343"/>
      <c r="H19" s="343">
        <f>SumByColor($A$19,H2:H17)</f>
        <v>70</v>
      </c>
      <c r="I19" s="343"/>
      <c r="J19" s="343"/>
      <c r="K19" s="344">
        <f>SumByColor($A$19,K3:K17)</f>
        <v>8032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494</v>
      </c>
      <c r="L24" s="220" t="s">
        <v>965</v>
      </c>
      <c r="O24" s="857" t="s">
        <v>78</v>
      </c>
      <c r="P24" s="857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222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232.04489000000004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222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229.93539100000004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222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227.82589200000004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222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225.71639300000004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222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223.60689400000004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222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221.49739500000001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222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219.38789600000001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222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217.27839700000001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222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215.16889800000001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222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213.05939900000001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222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210.94990000000001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222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208.84040100000001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222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206.73090200000001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222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204.62140300000002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222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202.51190400000002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222">
        <f t="shared" si="2"/>
        <v>0.31526887712454715</v>
      </c>
      <c r="I40" s="229" t="s">
        <v>989</v>
      </c>
      <c r="J40" s="39">
        <v>1048</v>
      </c>
      <c r="K40" s="39"/>
      <c r="L40" s="39">
        <v>27.52</v>
      </c>
      <c r="O40" s="81">
        <v>0.95</v>
      </c>
      <c r="P40" s="81">
        <f t="shared" si="3"/>
        <v>200.40240500000002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222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198.29290599999999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222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196.18340700000002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222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194.07390800000002</v>
      </c>
    </row>
    <row r="44" spans="1:23" x14ac:dyDescent="0.25">
      <c r="B44" s="184">
        <v>43293</v>
      </c>
      <c r="C44" s="10">
        <v>0</v>
      </c>
      <c r="D44" s="39"/>
      <c r="E44" s="39"/>
      <c r="F44" s="39">
        <v>1411.74</v>
      </c>
      <c r="G44" s="39"/>
      <c r="H44" s="222"/>
      <c r="I44" s="39"/>
      <c r="J44" s="39">
        <v>1554.77</v>
      </c>
      <c r="K44" s="39"/>
      <c r="L44" s="39"/>
      <c r="O44" s="81">
        <v>0.91</v>
      </c>
      <c r="P44" s="81">
        <f t="shared" si="3"/>
        <v>191.96440900000002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3"/>
        <v>189.85491000000002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W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W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554" priority="24">
      <formula>F51&gt;0</formula>
    </cfRule>
    <cfRule type="expression" dxfId="1553" priority="25">
      <formula>F51&lt;0</formula>
    </cfRule>
  </conditionalFormatting>
  <conditionalFormatting sqref="Q7">
    <cfRule type="expression" dxfId="1552" priority="22">
      <formula>Q7&gt;0</formula>
    </cfRule>
    <cfRule type="expression" dxfId="1551" priority="23">
      <formula>Q7&lt;0</formula>
    </cfRule>
  </conditionalFormatting>
  <conditionalFormatting sqref="Q8">
    <cfRule type="expression" dxfId="1550" priority="20">
      <formula>Q8&gt;0</formula>
    </cfRule>
    <cfRule type="expression" dxfId="1549" priority="21">
      <formula>Q8&lt;0</formula>
    </cfRule>
  </conditionalFormatting>
  <conditionalFormatting sqref="F25:F50">
    <cfRule type="expression" dxfId="1548" priority="18">
      <formula>F25&gt;0</formula>
    </cfRule>
    <cfRule type="expression" dxfId="1547" priority="19">
      <formula>F25&lt;0</formula>
    </cfRule>
  </conditionalFormatting>
  <conditionalFormatting sqref="H25:H50">
    <cfRule type="expression" dxfId="1546" priority="16">
      <formula>H25&gt;0</formula>
    </cfRule>
    <cfRule type="expression" dxfId="1545" priority="17">
      <formula>H25&lt;0</formula>
    </cfRule>
  </conditionalFormatting>
  <conditionalFormatting sqref="F89:F110">
    <cfRule type="expression" dxfId="1544" priority="14">
      <formula>F89&gt;0</formula>
    </cfRule>
    <cfRule type="expression" dxfId="1543" priority="15">
      <formula>F89&lt;0</formula>
    </cfRule>
  </conditionalFormatting>
  <conditionalFormatting sqref="H89:H110">
    <cfRule type="expression" dxfId="1542" priority="12">
      <formula>H89&gt;0</formula>
    </cfRule>
    <cfRule type="expression" dxfId="1541" priority="13">
      <formula>H89&lt;0</formula>
    </cfRule>
  </conditionalFormatting>
  <conditionalFormatting sqref="Q10">
    <cfRule type="expression" dxfId="1540" priority="10">
      <formula>Q10&gt;0</formula>
    </cfRule>
    <cfRule type="expression" dxfId="1539" priority="11">
      <formula>Q10&lt;0</formula>
    </cfRule>
  </conditionalFormatting>
  <conditionalFormatting sqref="J25:J39">
    <cfRule type="expression" dxfId="1538" priority="8">
      <formula>J25&gt;0</formula>
    </cfRule>
    <cfRule type="expression" dxfId="1537" priority="9">
      <formula>J25&lt;0</formula>
    </cfRule>
  </conditionalFormatting>
  <conditionalFormatting sqref="K25:K38">
    <cfRule type="expression" dxfId="1536" priority="6">
      <formula>K25&gt;0</formula>
    </cfRule>
    <cfRule type="expression" dxfId="1535" priority="7">
      <formula>K25&lt;0</formula>
    </cfRule>
  </conditionalFormatting>
  <conditionalFormatting sqref="L25:L38">
    <cfRule type="expression" dxfId="1534" priority="4">
      <formula>L25&gt;0</formula>
    </cfRule>
    <cfRule type="expression" dxfId="1533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532" priority="1">
      <formula>J40&gt;0</formula>
    </cfRule>
    <cfRule type="expression" dxfId="1531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453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454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207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206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60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60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588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589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503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590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491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492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61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61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274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294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292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293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295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301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320</v>
      </c>
      <c r="J235" s="39"/>
      <c r="K235" s="39"/>
    </row>
    <row r="236" spans="1:11" x14ac:dyDescent="0.25">
      <c r="A236" t="s">
        <v>329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354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354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371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375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390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397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400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405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406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407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412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412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223">
        <f t="shared" ref="H248:H253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412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223">
        <f t="shared" si="31"/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223">
        <f t="shared" si="31"/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223">
        <f t="shared" si="31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223">
        <f t="shared" si="31"/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223">
        <f t="shared" si="31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223">
        <f t="shared" ref="H254:H263" si="34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223">
        <f t="shared" si="34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223">
        <f t="shared" si="34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223">
        <f t="shared" si="34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223">
        <f t="shared" si="34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223">
        <f t="shared" si="34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223">
        <f t="shared" si="34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223">
        <f t="shared" si="34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223">
        <f t="shared" si="34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223">
        <f t="shared" si="34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223">
        <f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223">
        <f>IF(C265=0, D265, (E265-D265)/D265)</f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223">
        <f>IF(C266=0, D266, (E266-D266)/D266)</f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223">
        <f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530" priority="74">
      <formula>F12&gt;0</formula>
    </cfRule>
    <cfRule type="expression" dxfId="1529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528" priority="67">
      <formula>F124&gt;0</formula>
    </cfRule>
    <cfRule type="expression" dxfId="1527" priority="68">
      <formula>F124&lt;0</formula>
    </cfRule>
  </conditionalFormatting>
  <conditionalFormatting sqref="H124:H130">
    <cfRule type="expression" dxfId="1526" priority="55">
      <formula>H124&gt;0</formula>
    </cfRule>
    <cfRule type="expression" dxfId="1525" priority="56">
      <formula>H124&lt;0</formula>
    </cfRule>
  </conditionalFormatting>
  <conditionalFormatting sqref="H131">
    <cfRule type="expression" dxfId="1524" priority="53">
      <formula>H131&gt;0</formula>
    </cfRule>
    <cfRule type="expression" dxfId="1523" priority="54">
      <formula>H131&lt;0</formula>
    </cfRule>
  </conditionalFormatting>
  <conditionalFormatting sqref="H132">
    <cfRule type="expression" dxfId="1522" priority="51">
      <formula>H132&gt;0</formula>
    </cfRule>
    <cfRule type="expression" dxfId="1521" priority="52">
      <formula>H132&lt;0</formula>
    </cfRule>
  </conditionalFormatting>
  <conditionalFormatting sqref="H133:H135">
    <cfRule type="expression" dxfId="1520" priority="49">
      <formula>H133&gt;0</formula>
    </cfRule>
    <cfRule type="expression" dxfId="1519" priority="50">
      <formula>H133&lt;0</formula>
    </cfRule>
  </conditionalFormatting>
  <conditionalFormatting sqref="H136">
    <cfRule type="expression" dxfId="1518" priority="45">
      <formula>H136&gt;0</formula>
    </cfRule>
    <cfRule type="expression" dxfId="1517" priority="46">
      <formula>H136&lt;0</formula>
    </cfRule>
  </conditionalFormatting>
  <conditionalFormatting sqref="Q7">
    <cfRule type="expression" dxfId="1516" priority="39">
      <formula>Q7&gt;0</formula>
    </cfRule>
    <cfRule type="expression" dxfId="1515" priority="40">
      <formula>Q7&lt;0</formula>
    </cfRule>
  </conditionalFormatting>
  <conditionalFormatting sqref="Q8">
    <cfRule type="expression" dxfId="1514" priority="37">
      <formula>Q8&gt;0</formula>
    </cfRule>
    <cfRule type="expression" dxfId="1513" priority="38">
      <formula>Q8&lt;0</formula>
    </cfRule>
  </conditionalFormatting>
  <conditionalFormatting sqref="F167:F178 H167:H178">
    <cfRule type="expression" dxfId="1512" priority="35">
      <formula>F167&gt;0</formula>
    </cfRule>
    <cfRule type="expression" dxfId="1511" priority="36">
      <formula>F167&lt;0</formula>
    </cfRule>
  </conditionalFormatting>
  <conditionalFormatting sqref="F183:F197 H183:H197">
    <cfRule type="expression" dxfId="1510" priority="33">
      <formula>F183&gt;0</formula>
    </cfRule>
    <cfRule type="expression" dxfId="1509" priority="34">
      <formula>F183&lt;0</formula>
    </cfRule>
  </conditionalFormatting>
  <conditionalFormatting sqref="F198:F206 H198:H206">
    <cfRule type="expression" dxfId="1508" priority="31">
      <formula>F198&gt;0</formula>
    </cfRule>
    <cfRule type="expression" dxfId="1507" priority="32">
      <formula>F198&lt;0</formula>
    </cfRule>
  </conditionalFormatting>
  <conditionalFormatting sqref="F141:F147 H141:H147">
    <cfRule type="expression" dxfId="1506" priority="29">
      <formula>F141&gt;0</formula>
    </cfRule>
    <cfRule type="expression" dxfId="1505" priority="30">
      <formula>F141&lt;0</formula>
    </cfRule>
  </conditionalFormatting>
  <conditionalFormatting sqref="H149:H152 F149:F152">
    <cfRule type="expression" dxfId="1504" priority="27">
      <formula>F149&gt;0</formula>
    </cfRule>
    <cfRule type="expression" dxfId="1503" priority="28">
      <formula>F149&lt;0</formula>
    </cfRule>
  </conditionalFormatting>
  <conditionalFormatting sqref="F226 H215:H218 H257:H260 F257:F260 H226 H231:H233 F231:F233 F235:F244 H235:H244">
    <cfRule type="expression" dxfId="1502" priority="25">
      <formula>F215&gt;0</formula>
    </cfRule>
    <cfRule type="expression" dxfId="1501" priority="26">
      <formula>F215&lt;0</formula>
    </cfRule>
  </conditionalFormatting>
  <conditionalFormatting sqref="F207:F218">
    <cfRule type="expression" dxfId="1500" priority="23">
      <formula>F207&gt;0</formula>
    </cfRule>
    <cfRule type="expression" dxfId="1499" priority="24">
      <formula>F207&lt;0</formula>
    </cfRule>
  </conditionalFormatting>
  <conditionalFormatting sqref="H207:H208">
    <cfRule type="expression" dxfId="1498" priority="21">
      <formula>H207&gt;0</formula>
    </cfRule>
    <cfRule type="expression" dxfId="1497" priority="22">
      <formula>H207&lt;0</formula>
    </cfRule>
  </conditionalFormatting>
  <conditionalFormatting sqref="H209">
    <cfRule type="expression" dxfId="1496" priority="19">
      <formula>H209&gt;0</formula>
    </cfRule>
    <cfRule type="expression" dxfId="1495" priority="20">
      <formula>H209&lt;0</formula>
    </cfRule>
  </conditionalFormatting>
  <conditionalFormatting sqref="H210">
    <cfRule type="expression" dxfId="1494" priority="17">
      <formula>H210&gt;0</formula>
    </cfRule>
    <cfRule type="expression" dxfId="1493" priority="18">
      <formula>H210&lt;0</formula>
    </cfRule>
  </conditionalFormatting>
  <conditionalFormatting sqref="H211:H213">
    <cfRule type="expression" dxfId="1492" priority="15">
      <formula>H211&gt;0</formula>
    </cfRule>
    <cfRule type="expression" dxfId="1491" priority="16">
      <formula>H211&lt;0</formula>
    </cfRule>
  </conditionalFormatting>
  <conditionalFormatting sqref="H214">
    <cfRule type="expression" dxfId="1490" priority="13">
      <formula>H214&gt;0</formula>
    </cfRule>
    <cfRule type="expression" dxfId="1489" priority="14">
      <formula>H214&lt;0</formula>
    </cfRule>
  </conditionalFormatting>
  <conditionalFormatting sqref="F245:F256 H245:H256">
    <cfRule type="expression" dxfId="1488" priority="11">
      <formula>F245&gt;0</formula>
    </cfRule>
    <cfRule type="expression" dxfId="1487" priority="12">
      <formula>F245&lt;0</formula>
    </cfRule>
  </conditionalFormatting>
  <conditionalFormatting sqref="F261:F275 H261:H275">
    <cfRule type="expression" dxfId="1486" priority="9">
      <formula>F261&gt;0</formula>
    </cfRule>
    <cfRule type="expression" dxfId="1485" priority="10">
      <formula>F261&lt;0</formula>
    </cfRule>
  </conditionalFormatting>
  <conditionalFormatting sqref="F276:F283 H276:H283">
    <cfRule type="expression" dxfId="1484" priority="7">
      <formula>F276&gt;0</formula>
    </cfRule>
    <cfRule type="expression" dxfId="1483" priority="8">
      <formula>F276&lt;0</formula>
    </cfRule>
  </conditionalFormatting>
  <conditionalFormatting sqref="F219:F225 H219:H225">
    <cfRule type="expression" dxfId="1482" priority="5">
      <formula>F219&gt;0</formula>
    </cfRule>
    <cfRule type="expression" dxfId="1481" priority="6">
      <formula>F219&lt;0</formula>
    </cfRule>
  </conditionalFormatting>
  <conditionalFormatting sqref="H227:H230 F227:F230">
    <cfRule type="expression" dxfId="1480" priority="3">
      <formula>F227&gt;0</formula>
    </cfRule>
    <cfRule type="expression" dxfId="1479" priority="4">
      <formula>F227&lt;0</formula>
    </cfRule>
  </conditionalFormatting>
  <conditionalFormatting sqref="H234 F234">
    <cfRule type="expression" dxfId="1478" priority="1">
      <formula>F234&gt;0</formula>
    </cfRule>
    <cfRule type="expression" dxfId="1477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305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147.05000000000001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147.05000000000001</v>
      </c>
      <c r="R4" s="475">
        <v>4.0000000000000002E-4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206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57" t="s">
        <v>78</v>
      </c>
      <c r="P40" s="857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161.75500000000002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160.28450000000004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158.81400000000002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157.34350000000003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155.87300000000002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154.40250000000003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152.93200000000002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151.46150000000003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149.99100000000001</v>
      </c>
      <c r="Q49" s="2"/>
      <c r="T49" s="91" t="s">
        <v>121</v>
      </c>
      <c r="U49" s="127" t="s">
        <v>383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148.52050000000003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147.05000000000001</v>
      </c>
      <c r="Q51" s="2"/>
      <c r="T51" s="91" t="s">
        <v>104</v>
      </c>
      <c r="U51" s="127" t="s">
        <v>591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145.5795</v>
      </c>
      <c r="Q52" s="2"/>
      <c r="T52" s="91" t="s">
        <v>105</v>
      </c>
      <c r="U52" s="127" t="s">
        <v>414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144.10900000000001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142.63849999999999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141.16800000000001</v>
      </c>
      <c r="T55" s="91" t="s">
        <v>107</v>
      </c>
      <c r="U55" s="127" t="s">
        <v>592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139.69749999999999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138.227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136.75650000000002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135.28600000000003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133.81550000000001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132.34500000000003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305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>I76*H76-J76</f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346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346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222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222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76" priority="43">
      <formula>F33&gt;0</formula>
    </cfRule>
    <cfRule type="expression" dxfId="1475" priority="44">
      <formula>F33&lt;0</formula>
    </cfRule>
  </conditionalFormatting>
  <conditionalFormatting sqref="Q7">
    <cfRule type="expression" dxfId="1474" priority="41">
      <formula>Q7&gt;0</formula>
    </cfRule>
    <cfRule type="expression" dxfId="1473" priority="42">
      <formula>Q7&lt;0</formula>
    </cfRule>
  </conditionalFormatting>
  <conditionalFormatting sqref="Q8">
    <cfRule type="expression" dxfId="1472" priority="39">
      <formula>Q8&gt;0</formula>
    </cfRule>
    <cfRule type="expression" dxfId="1471" priority="40">
      <formula>Q8&lt;0</formula>
    </cfRule>
  </conditionalFormatting>
  <conditionalFormatting sqref="F29 F32">
    <cfRule type="expression" dxfId="1470" priority="37">
      <formula>F29&gt;0</formula>
    </cfRule>
    <cfRule type="expression" dxfId="1469" priority="38">
      <formula>F29&lt;0</formula>
    </cfRule>
  </conditionalFormatting>
  <conditionalFormatting sqref="H29 H32">
    <cfRule type="expression" dxfId="1468" priority="35">
      <formula>H29&gt;0</formula>
    </cfRule>
    <cfRule type="expression" dxfId="1467" priority="36">
      <formula>H29&lt;0</formula>
    </cfRule>
  </conditionalFormatting>
  <conditionalFormatting sqref="F30:F31">
    <cfRule type="expression" dxfId="1466" priority="33">
      <formula>F30&gt;0</formula>
    </cfRule>
    <cfRule type="expression" dxfId="1465" priority="34">
      <formula>F30&lt;0</formula>
    </cfRule>
  </conditionalFormatting>
  <conditionalFormatting sqref="H30:H31">
    <cfRule type="expression" dxfId="1464" priority="31">
      <formula>H30&gt;0</formula>
    </cfRule>
    <cfRule type="expression" dxfId="1463" priority="32">
      <formula>H30&lt;0</formula>
    </cfRule>
  </conditionalFormatting>
  <conditionalFormatting sqref="F105:F140 H105:H140">
    <cfRule type="expression" dxfId="1462" priority="29">
      <formula>F105&gt;0</formula>
    </cfRule>
    <cfRule type="expression" dxfId="1461" priority="30">
      <formula>F105&lt;0</formula>
    </cfRule>
  </conditionalFormatting>
  <conditionalFormatting sqref="F96:F99">
    <cfRule type="expression" dxfId="1460" priority="27">
      <formula>F96&gt;0</formula>
    </cfRule>
    <cfRule type="expression" dxfId="1459" priority="28">
      <formula>F96&lt;0</formula>
    </cfRule>
  </conditionalFormatting>
  <conditionalFormatting sqref="H96:H99">
    <cfRule type="expression" dxfId="1458" priority="25">
      <formula>H96&gt;0</formula>
    </cfRule>
    <cfRule type="expression" dxfId="1457" priority="26">
      <formula>H96&lt;0</formula>
    </cfRule>
  </conditionalFormatting>
  <conditionalFormatting sqref="F25:F28">
    <cfRule type="expression" dxfId="1456" priority="19">
      <formula>F25&gt;0</formula>
    </cfRule>
    <cfRule type="expression" dxfId="1455" priority="20">
      <formula>F25&lt;0</formula>
    </cfRule>
  </conditionalFormatting>
  <conditionalFormatting sqref="H25:H28">
    <cfRule type="expression" dxfId="1454" priority="17">
      <formula>H25&gt;0</formula>
    </cfRule>
    <cfRule type="expression" dxfId="1453" priority="18">
      <formula>H25&lt;0</formula>
    </cfRule>
  </conditionalFormatting>
  <conditionalFormatting sqref="J27">
    <cfRule type="expression" dxfId="1452" priority="15">
      <formula>J27&gt;0</formula>
    </cfRule>
    <cfRule type="expression" dxfId="1451" priority="16">
      <formula>J27&lt;0</formula>
    </cfRule>
  </conditionalFormatting>
  <conditionalFormatting sqref="F104">
    <cfRule type="expression" dxfId="1450" priority="13">
      <formula>F104&gt;0</formula>
    </cfRule>
    <cfRule type="expression" dxfId="1449" priority="14">
      <formula>F104&lt;0</formula>
    </cfRule>
  </conditionalFormatting>
  <conditionalFormatting sqref="H104">
    <cfRule type="expression" dxfId="1448" priority="11">
      <formula>H104&gt;0</formula>
    </cfRule>
    <cfRule type="expression" dxfId="1447" priority="12">
      <formula>H104&lt;0</formula>
    </cfRule>
  </conditionalFormatting>
  <conditionalFormatting sqref="F100:F103">
    <cfRule type="expression" dxfId="1446" priority="9">
      <formula>F100&gt;0</formula>
    </cfRule>
    <cfRule type="expression" dxfId="1445" priority="10">
      <formula>F100&lt;0</formula>
    </cfRule>
  </conditionalFormatting>
  <conditionalFormatting sqref="H100:H103">
    <cfRule type="expression" dxfId="1444" priority="7">
      <formula>H100&gt;0</formula>
    </cfRule>
    <cfRule type="expression" dxfId="1443" priority="8">
      <formula>H100&lt;0</formula>
    </cfRule>
  </conditionalFormatting>
  <conditionalFormatting sqref="J102">
    <cfRule type="expression" dxfId="1442" priority="5">
      <formula>J102&gt;0</formula>
    </cfRule>
    <cfRule type="expression" dxfId="1441" priority="6">
      <formula>J102&lt;0</formula>
    </cfRule>
  </conditionalFormatting>
  <conditionalFormatting sqref="Q10">
    <cfRule type="expression" dxfId="1440" priority="3">
      <formula>Q10&gt;0</formula>
    </cfRule>
    <cfRule type="expression" dxfId="1439" priority="4">
      <formula>Q10&lt;0</formula>
    </cfRule>
  </conditionalFormatting>
  <conditionalFormatting sqref="M71">
    <cfRule type="expression" dxfId="1438" priority="1">
      <formula>M71&gt;0</formula>
    </cfRule>
    <cfRule type="expression" dxfId="1437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684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95.03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95.03</v>
      </c>
      <c r="R4" s="475">
        <v>-7.0000000000000001E-3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207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206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7" t="s">
        <v>78</v>
      </c>
      <c r="P40" s="857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104.53300000000002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103.5827</v>
      </c>
      <c r="Q42" s="2"/>
      <c r="T42" s="89"/>
    </row>
    <row r="43" spans="1:21" ht="15.75" thickTop="1" x14ac:dyDescent="0.25">
      <c r="O43" s="81">
        <v>1.08</v>
      </c>
      <c r="P43" s="81">
        <f t="shared" si="0"/>
        <v>102.6324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101.68210000000001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100.73180000000001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99.781500000000008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98.83120000000001</v>
      </c>
      <c r="Q47" s="2"/>
      <c r="T47" s="91"/>
      <c r="U47" s="127"/>
    </row>
    <row r="48" spans="1:21" x14ac:dyDescent="0.25">
      <c r="A48" s="254" t="s">
        <v>684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97.880899999999997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96.930599999999998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95.9803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95.03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94.079700000000003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93.129400000000004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92.179100000000005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91.228799999999993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90.278499999999994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89.328199999999995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88.377900000000011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87.427599999999998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86.4773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85.527000000000001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436" priority="33">
      <formula>F34&gt;0</formula>
    </cfRule>
    <cfRule type="expression" dxfId="1435" priority="34">
      <formula>F34&lt;0</formula>
    </cfRule>
  </conditionalFormatting>
  <conditionalFormatting sqref="Q7">
    <cfRule type="expression" dxfId="1434" priority="31">
      <formula>Q7&gt;0</formula>
    </cfRule>
    <cfRule type="expression" dxfId="1433" priority="32">
      <formula>Q7&lt;0</formula>
    </cfRule>
  </conditionalFormatting>
  <conditionalFormatting sqref="Q8">
    <cfRule type="expression" dxfId="1432" priority="29">
      <formula>Q8&gt;0</formula>
    </cfRule>
    <cfRule type="expression" dxfId="1431" priority="30">
      <formula>Q8&lt;0</formula>
    </cfRule>
  </conditionalFormatting>
  <conditionalFormatting sqref="F27:F33">
    <cfRule type="expression" dxfId="1430" priority="27">
      <formula>F27&gt;0</formula>
    </cfRule>
    <cfRule type="expression" dxfId="1429" priority="28">
      <formula>F27&lt;0</formula>
    </cfRule>
  </conditionalFormatting>
  <conditionalFormatting sqref="H27:H33">
    <cfRule type="expression" dxfId="1428" priority="25">
      <formula>H27&gt;0</formula>
    </cfRule>
    <cfRule type="expression" dxfId="1427" priority="26">
      <formula>H27&lt;0</formula>
    </cfRule>
  </conditionalFormatting>
  <conditionalFormatting sqref="M46">
    <cfRule type="expression" dxfId="1426" priority="23">
      <formula>M46&gt;0</formula>
    </cfRule>
    <cfRule type="expression" dxfId="1425" priority="24">
      <formula>M46&lt;0</formula>
    </cfRule>
  </conditionalFormatting>
  <conditionalFormatting sqref="F79:F87 H79:H87">
    <cfRule type="expression" dxfId="1424" priority="21">
      <formula>F79&gt;0</formula>
    </cfRule>
    <cfRule type="expression" dxfId="1423" priority="22">
      <formula>F79&lt;0</formula>
    </cfRule>
  </conditionalFormatting>
  <conditionalFormatting sqref="F73 F77:F78">
    <cfRule type="expression" dxfId="1422" priority="19">
      <formula>F73&gt;0</formula>
    </cfRule>
    <cfRule type="expression" dxfId="1421" priority="20">
      <formula>F73&lt;0</formula>
    </cfRule>
  </conditionalFormatting>
  <conditionalFormatting sqref="H73 H77:H78">
    <cfRule type="expression" dxfId="1420" priority="17">
      <formula>H73&gt;0</formula>
    </cfRule>
    <cfRule type="expression" dxfId="1419" priority="18">
      <formula>H73&lt;0</formula>
    </cfRule>
  </conditionalFormatting>
  <conditionalFormatting sqref="F70:F72">
    <cfRule type="expression" dxfId="1418" priority="15">
      <formula>F70&gt;0</formula>
    </cfRule>
    <cfRule type="expression" dxfId="1417" priority="16">
      <formula>F70&lt;0</formula>
    </cfRule>
  </conditionalFormatting>
  <conditionalFormatting sqref="H70:H72">
    <cfRule type="expression" dxfId="1416" priority="13">
      <formula>H70&gt;0</formula>
    </cfRule>
    <cfRule type="expression" dxfId="1415" priority="14">
      <formula>H70&lt;0</formula>
    </cfRule>
  </conditionalFormatting>
  <conditionalFormatting sqref="F25:F26">
    <cfRule type="expression" dxfId="1414" priority="11">
      <formula>F25&gt;0</formula>
    </cfRule>
    <cfRule type="expression" dxfId="1413" priority="12">
      <formula>F25&lt;0</formula>
    </cfRule>
  </conditionalFormatting>
  <conditionalFormatting sqref="H25:H26">
    <cfRule type="expression" dxfId="1412" priority="9">
      <formula>H25&gt;0</formula>
    </cfRule>
    <cfRule type="expression" dxfId="1411" priority="10">
      <formula>H25&lt;0</formula>
    </cfRule>
  </conditionalFormatting>
  <conditionalFormatting sqref="F76">
    <cfRule type="expression" dxfId="1410" priority="7">
      <formula>F76&gt;0</formula>
    </cfRule>
    <cfRule type="expression" dxfId="1409" priority="8">
      <formula>F76&lt;0</formula>
    </cfRule>
  </conditionalFormatting>
  <conditionalFormatting sqref="H76">
    <cfRule type="expression" dxfId="1408" priority="5">
      <formula>H76&gt;0</formula>
    </cfRule>
    <cfRule type="expression" dxfId="1407" priority="6">
      <formula>H76&lt;0</formula>
    </cfRule>
  </conditionalFormatting>
  <conditionalFormatting sqref="F74:F75">
    <cfRule type="expression" dxfId="1406" priority="3">
      <formula>F74&gt;0</formula>
    </cfRule>
    <cfRule type="expression" dxfId="1405" priority="4">
      <formula>F74&lt;0</formula>
    </cfRule>
  </conditionalFormatting>
  <conditionalFormatting sqref="H74:H75">
    <cfRule type="expression" dxfId="1404" priority="1">
      <formula>H74&gt;0</formula>
    </cfRule>
    <cfRule type="expression" dxfId="1403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952</v>
      </c>
      <c r="B2" s="434">
        <v>43178</v>
      </c>
      <c r="C2" s="7">
        <v>25</v>
      </c>
      <c r="D2" s="43">
        <v>166.11</v>
      </c>
      <c r="E2" s="43">
        <v>0</v>
      </c>
      <c r="F2" s="43">
        <f t="shared" ref="F2:F8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 t="shared" ref="K2:K7" si="1">H2*I2-J2</f>
        <v>4127.03</v>
      </c>
      <c r="L2" s="72"/>
      <c r="M2" s="3"/>
      <c r="O2" s="11" t="s">
        <v>57</v>
      </c>
      <c r="Q2">
        <f>C18-H18</f>
        <v>15</v>
      </c>
      <c r="T2" s="1"/>
    </row>
    <row r="3" spans="1:21" x14ac:dyDescent="0.25">
      <c r="A3" s="22" t="s">
        <v>71</v>
      </c>
      <c r="B3" s="434" t="s">
        <v>988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221">
        <f>IF(Q2=0, Q4, (F18-K18-M18)/Q2)</f>
        <v>112.24000000000039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177.6199</v>
      </c>
      <c r="R4" s="495">
        <v>-1.35E-2</v>
      </c>
      <c r="T4" s="770">
        <v>43256</v>
      </c>
      <c r="U4" s="839" t="s">
        <v>1110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2664.2984999999999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1683.6000000000058</v>
      </c>
    </row>
    <row r="7" spans="1:21" x14ac:dyDescent="0.25">
      <c r="B7" s="47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7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178</v>
      </c>
      <c r="Q7" s="2">
        <f>Q10+Q8</f>
        <v>980.69849999999406</v>
      </c>
      <c r="R7">
        <v>15</v>
      </c>
    </row>
    <row r="8" spans="1:21" x14ac:dyDescent="0.25">
      <c r="B8" s="477">
        <v>43276</v>
      </c>
      <c r="C8" s="4">
        <v>15</v>
      </c>
      <c r="D8" s="3">
        <v>171.05</v>
      </c>
      <c r="E8" s="3">
        <v>0</v>
      </c>
      <c r="F8" s="3">
        <f t="shared" si="0"/>
        <v>2565.75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980.69849999999406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0.58250089094796309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206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7.2063997333632101E-3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965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155</v>
      </c>
      <c r="D18" s="18"/>
      <c r="E18" s="18"/>
      <c r="F18" s="18">
        <f>SUM(F2:F8)</f>
        <v>25214.5</v>
      </c>
      <c r="G18" s="14"/>
      <c r="H18" s="71">
        <f>SUM(H2:H7)</f>
        <v>140</v>
      </c>
      <c r="I18" s="18"/>
      <c r="J18" s="18"/>
      <c r="K18" s="18">
        <f>SUM(K2:K7)</f>
        <v>23530.899999999994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140</v>
      </c>
      <c r="D19" s="343"/>
      <c r="E19" s="343"/>
      <c r="F19" s="344">
        <f>SumByColor($A$19,F2:F17)</f>
        <v>22648</v>
      </c>
      <c r="G19" s="343"/>
      <c r="H19" s="343">
        <f>SumByColor($A$19,H2:H17)</f>
        <v>140</v>
      </c>
      <c r="I19" s="343"/>
      <c r="J19" s="343"/>
      <c r="K19" s="344">
        <f>SumByColor($A$19,K2:K17)</f>
        <v>23531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195.38189000000003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193.60569100000001</v>
      </c>
      <c r="Q24" s="2"/>
    </row>
    <row r="25" spans="1:17" x14ac:dyDescent="0.25">
      <c r="B25" s="184">
        <v>43178</v>
      </c>
      <c r="C25" s="423">
        <v>25</v>
      </c>
      <c r="D25" s="424">
        <v>166.11</v>
      </c>
      <c r="E25" s="39">
        <v>166.3</v>
      </c>
      <c r="F25" s="39">
        <f t="shared" ref="F25:F32" si="3">C25*(E25-D25)</f>
        <v>4.7499999999999432</v>
      </c>
      <c r="G25" s="39">
        <f t="shared" ref="G25:G32" si="4">D25*C25</f>
        <v>4152.75</v>
      </c>
      <c r="H25" s="222">
        <f t="shared" ref="H25:H32" si="5">(E25-D25)/D25</f>
        <v>1.1438203600023943E-3</v>
      </c>
      <c r="I25" s="39"/>
      <c r="J25" s="39"/>
      <c r="K25" s="39"/>
      <c r="L25" s="39"/>
      <c r="O25" s="81">
        <v>1.08</v>
      </c>
      <c r="P25" s="81">
        <f t="shared" si="2"/>
        <v>191.82949200000002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si="3"/>
        <v>-65.749999999999886</v>
      </c>
      <c r="G26" s="39">
        <f t="shared" si="4"/>
        <v>8239.75</v>
      </c>
      <c r="H26" s="222">
        <f t="shared" si="5"/>
        <v>-7.9796110318880904E-3</v>
      </c>
      <c r="I26" s="39"/>
      <c r="J26" s="39"/>
      <c r="K26" s="39"/>
      <c r="L26" s="39"/>
      <c r="O26" s="81">
        <v>1.07</v>
      </c>
      <c r="P26" s="81">
        <f t="shared" si="2"/>
        <v>190.05329300000002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si="3"/>
        <v>14.529999999999887</v>
      </c>
      <c r="G27" s="39">
        <f t="shared" si="4"/>
        <v>4112.72</v>
      </c>
      <c r="H27" s="222">
        <f t="shared" si="5"/>
        <v>3.5329417028146545E-3</v>
      </c>
      <c r="I27" s="39"/>
      <c r="J27" s="39"/>
      <c r="K27" s="39"/>
      <c r="L27" s="155"/>
      <c r="O27" s="81">
        <v>1.06</v>
      </c>
      <c r="P27" s="81">
        <f t="shared" si="2"/>
        <v>188.27709400000001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si="3"/>
        <v>-47.220000000000084</v>
      </c>
      <c r="G28" s="39">
        <f t="shared" si="4"/>
        <v>8187.22</v>
      </c>
      <c r="H28" s="222">
        <f t="shared" si="5"/>
        <v>-5.7675254848410179E-3</v>
      </c>
      <c r="I28" s="39"/>
      <c r="J28" s="39"/>
      <c r="K28" s="39"/>
      <c r="L28" s="155"/>
      <c r="O28" s="81">
        <v>1.05</v>
      </c>
      <c r="P28" s="81">
        <f t="shared" si="2"/>
        <v>186.50089500000001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si="3"/>
        <v>32.779999999999632</v>
      </c>
      <c r="G29" s="39">
        <f t="shared" si="4"/>
        <v>8187.22</v>
      </c>
      <c r="H29" s="222">
        <f t="shared" si="5"/>
        <v>4.0038010460204596E-3</v>
      </c>
      <c r="I29" s="39"/>
      <c r="J29" s="39"/>
      <c r="K29" s="39"/>
      <c r="L29" s="155"/>
      <c r="O29" s="81">
        <v>1.04</v>
      </c>
      <c r="P29" s="81">
        <f t="shared" si="2"/>
        <v>184.72469599999999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si="3"/>
        <v>-233.22000000000003</v>
      </c>
      <c r="G30" s="39">
        <f t="shared" si="4"/>
        <v>8187.22</v>
      </c>
      <c r="H30" s="222">
        <f t="shared" si="5"/>
        <v>-2.8485859669094029E-2</v>
      </c>
      <c r="I30" s="39"/>
      <c r="J30" s="39"/>
      <c r="K30" s="39"/>
      <c r="L30" s="155"/>
      <c r="O30" s="81">
        <v>1.03</v>
      </c>
      <c r="P30" s="81">
        <f t="shared" si="2"/>
        <v>182.948497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3"/>
        <v>-362.21999999999991</v>
      </c>
      <c r="G31" s="39">
        <f t="shared" si="4"/>
        <v>12099.72</v>
      </c>
      <c r="H31" s="222">
        <f t="shared" si="5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2"/>
        <v>181.17229800000001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si="3"/>
        <v>-14.309999999998979</v>
      </c>
      <c r="G32" s="39">
        <f t="shared" si="4"/>
        <v>8074.8099999999995</v>
      </c>
      <c r="H32" s="222">
        <f t="shared" si="5"/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2"/>
        <v>179.39609899999999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41" si="6">C33*(E33-D33)</f>
        <v>35.699999999999932</v>
      </c>
      <c r="G33" s="39">
        <f t="shared" ref="G33:G41" si="7">D33*C33</f>
        <v>8074.8</v>
      </c>
      <c r="H33" s="222">
        <f t="shared" ref="H33:H41" si="8">(E33-D33)/D33</f>
        <v>4.421162134046655E-3</v>
      </c>
      <c r="I33" s="39"/>
      <c r="J33" s="39"/>
      <c r="K33" s="39"/>
      <c r="L33" s="155"/>
      <c r="O33" s="81">
        <v>1</v>
      </c>
      <c r="P33" s="81">
        <f t="shared" si="2"/>
        <v>177.6199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6"/>
        <v>-142.3110000000004</v>
      </c>
      <c r="G34" s="39">
        <f t="shared" si="7"/>
        <v>10444.811</v>
      </c>
      <c r="H34" s="222">
        <f t="shared" si="8"/>
        <v>-1.3625043095562036E-2</v>
      </c>
      <c r="I34" s="39"/>
      <c r="J34" s="39"/>
      <c r="K34" s="39"/>
      <c r="L34" s="155"/>
      <c r="O34" s="81">
        <v>0.99</v>
      </c>
      <c r="P34" s="81">
        <f t="shared" si="2"/>
        <v>175.84370100000001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6"/>
        <v>137.54000000000019</v>
      </c>
      <c r="G35" s="39">
        <f t="shared" si="7"/>
        <v>6342.06</v>
      </c>
      <c r="H35" s="222">
        <f t="shared" si="8"/>
        <v>2.1686959757555146E-2</v>
      </c>
      <c r="I35" s="39"/>
      <c r="J35" s="39"/>
      <c r="K35" s="39"/>
      <c r="L35" s="155"/>
      <c r="O35" s="81">
        <v>0.98</v>
      </c>
      <c r="P35" s="81">
        <f t="shared" si="2"/>
        <v>174.06750199999999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6"/>
        <v>141.05000000000103</v>
      </c>
      <c r="G36" s="39">
        <f t="shared" si="7"/>
        <v>10394.15</v>
      </c>
      <c r="H36" s="222">
        <f t="shared" si="8"/>
        <v>1.3570133199925057E-2</v>
      </c>
      <c r="I36" s="39"/>
      <c r="J36" s="39"/>
      <c r="K36" s="39"/>
      <c r="L36" s="39"/>
      <c r="O36" s="81">
        <v>0.97</v>
      </c>
      <c r="P36" s="81">
        <f t="shared" si="2"/>
        <v>172.291303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6"/>
        <v>589.5499999999995</v>
      </c>
      <c r="G37" s="39">
        <f t="shared" si="7"/>
        <v>10394.15</v>
      </c>
      <c r="H37" s="222">
        <f t="shared" si="8"/>
        <v>5.6719404665124089E-2</v>
      </c>
      <c r="I37" s="39"/>
      <c r="J37" s="39"/>
      <c r="K37" s="39"/>
      <c r="L37" s="39"/>
      <c r="O37" s="81">
        <v>0.96</v>
      </c>
      <c r="P37" s="81">
        <f t="shared" si="2"/>
        <v>170.51510400000001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6"/>
        <v>809.88800000000083</v>
      </c>
      <c r="G38" s="39">
        <f t="shared" si="7"/>
        <v>6099.7119999999995</v>
      </c>
      <c r="H38" s="222">
        <f t="shared" si="8"/>
        <v>0.13277479330171668</v>
      </c>
      <c r="I38" s="39"/>
      <c r="J38" s="39"/>
      <c r="K38" s="39"/>
      <c r="L38" s="39"/>
      <c r="O38" s="81">
        <v>0.95</v>
      </c>
      <c r="P38" s="81">
        <f t="shared" si="2"/>
        <v>168.73890499999999</v>
      </c>
    </row>
    <row r="39" spans="1:17" x14ac:dyDescent="0.25">
      <c r="A39">
        <v>25</v>
      </c>
      <c r="B39" s="184">
        <v>43271</v>
      </c>
      <c r="C39" s="423">
        <v>25</v>
      </c>
      <c r="D39" s="424">
        <v>137.4716</v>
      </c>
      <c r="E39" s="39">
        <v>177.25</v>
      </c>
      <c r="F39" s="39">
        <f t="shared" si="6"/>
        <v>994.46000000000015</v>
      </c>
      <c r="G39" s="39">
        <f t="shared" si="7"/>
        <v>3436.79</v>
      </c>
      <c r="H39" s="222">
        <f t="shared" si="8"/>
        <v>0.28935721996397806</v>
      </c>
      <c r="I39" s="39"/>
      <c r="J39" s="39"/>
      <c r="K39" s="39"/>
      <c r="L39" s="39"/>
      <c r="O39" s="81">
        <v>0.94</v>
      </c>
      <c r="P39" s="81">
        <f t="shared" si="2"/>
        <v>166.962706</v>
      </c>
    </row>
    <row r="40" spans="1:17" x14ac:dyDescent="0.25">
      <c r="A40">
        <v>25</v>
      </c>
      <c r="B40" s="184">
        <v>43276</v>
      </c>
      <c r="C40" s="10">
        <v>40</v>
      </c>
      <c r="D40" s="39">
        <v>150.06</v>
      </c>
      <c r="E40" s="39">
        <v>171.37</v>
      </c>
      <c r="F40" s="39">
        <f t="shared" si="6"/>
        <v>852.40000000000009</v>
      </c>
      <c r="G40" s="39">
        <f t="shared" si="7"/>
        <v>6002.4</v>
      </c>
      <c r="H40" s="222">
        <f t="shared" si="8"/>
        <v>0.14200986272157806</v>
      </c>
      <c r="I40" s="39"/>
      <c r="J40" s="39"/>
      <c r="K40" s="39"/>
      <c r="L40" s="39"/>
      <c r="O40" s="81">
        <v>0.93</v>
      </c>
      <c r="P40" s="81">
        <f t="shared" si="2"/>
        <v>165.18650700000001</v>
      </c>
    </row>
    <row r="41" spans="1:17" x14ac:dyDescent="0.25">
      <c r="A41">
        <v>0</v>
      </c>
      <c r="B41" s="184">
        <v>43286</v>
      </c>
      <c r="C41" s="10">
        <v>15</v>
      </c>
      <c r="D41" s="39">
        <v>112.24</v>
      </c>
      <c r="E41" s="39">
        <v>172.92</v>
      </c>
      <c r="F41" s="39">
        <f t="shared" si="6"/>
        <v>910.19999999999993</v>
      </c>
      <c r="G41" s="39">
        <f t="shared" si="7"/>
        <v>1683.6</v>
      </c>
      <c r="H41" s="222">
        <f t="shared" si="8"/>
        <v>0.54062722736992153</v>
      </c>
      <c r="I41" s="39"/>
      <c r="J41" s="39"/>
      <c r="K41" s="39"/>
      <c r="L41" s="39"/>
      <c r="O41" s="81">
        <v>0.92</v>
      </c>
      <c r="P41" s="81">
        <f t="shared" si="2"/>
        <v>163.41030800000001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2"/>
        <v>161.634109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159.85791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662</v>
      </c>
      <c r="L88" s="220" t="s">
        <v>668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402" priority="37">
      <formula>F47&gt;0</formula>
    </cfRule>
    <cfRule type="expression" dxfId="1401" priority="38">
      <formula>F47&lt;0</formula>
    </cfRule>
  </conditionalFormatting>
  <conditionalFormatting sqref="Q7">
    <cfRule type="expression" dxfId="1400" priority="35">
      <formula>Q7&gt;0</formula>
    </cfRule>
    <cfRule type="expression" dxfId="1399" priority="36">
      <formula>Q7&lt;0</formula>
    </cfRule>
  </conditionalFormatting>
  <conditionalFormatting sqref="Q8">
    <cfRule type="expression" dxfId="1398" priority="33">
      <formula>Q8&gt;0</formula>
    </cfRule>
    <cfRule type="expression" dxfId="1397" priority="34">
      <formula>Q8&lt;0</formula>
    </cfRule>
  </conditionalFormatting>
  <conditionalFormatting sqref="F31:F46">
    <cfRule type="expression" dxfId="1396" priority="31">
      <formula>F31&gt;0</formula>
    </cfRule>
    <cfRule type="expression" dxfId="1395" priority="32">
      <formula>F31&lt;0</formula>
    </cfRule>
  </conditionalFormatting>
  <conditionalFormatting sqref="H31:H46">
    <cfRule type="expression" dxfId="1394" priority="29">
      <formula>H31&gt;0</formula>
    </cfRule>
    <cfRule type="expression" dxfId="1393" priority="30">
      <formula>H31&lt;0</formula>
    </cfRule>
  </conditionalFormatting>
  <conditionalFormatting sqref="Q10">
    <cfRule type="expression" dxfId="1392" priority="27">
      <formula>Q10&gt;0</formula>
    </cfRule>
    <cfRule type="expression" dxfId="1391" priority="28">
      <formula>Q10&lt;0</formula>
    </cfRule>
  </conditionalFormatting>
  <conditionalFormatting sqref="J25:J38">
    <cfRule type="expression" dxfId="1390" priority="25">
      <formula>J25&gt;0</formula>
    </cfRule>
    <cfRule type="expression" dxfId="1389" priority="26">
      <formula>J25&lt;0</formula>
    </cfRule>
  </conditionalFormatting>
  <conditionalFormatting sqref="K25:K38">
    <cfRule type="expression" dxfId="1388" priority="23">
      <formula>K25&gt;0</formula>
    </cfRule>
    <cfRule type="expression" dxfId="1387" priority="24">
      <formula>K25&lt;0</formula>
    </cfRule>
  </conditionalFormatting>
  <conditionalFormatting sqref="L25:L38">
    <cfRule type="expression" dxfId="1386" priority="21">
      <formula>L25&gt;0</formula>
    </cfRule>
    <cfRule type="expression" dxfId="1385" priority="22">
      <formula>L25&lt;0</formula>
    </cfRule>
  </conditionalFormatting>
  <conditionalFormatting sqref="F89:F110">
    <cfRule type="expression" dxfId="1384" priority="19">
      <formula>F89&gt;0</formula>
    </cfRule>
    <cfRule type="expression" dxfId="1383" priority="20">
      <formula>F89&lt;0</formula>
    </cfRule>
  </conditionalFormatting>
  <conditionalFormatting sqref="H89:H110">
    <cfRule type="expression" dxfId="1382" priority="17">
      <formula>H89&gt;0</formula>
    </cfRule>
    <cfRule type="expression" dxfId="1381" priority="18">
      <formula>H89&lt;0</formula>
    </cfRule>
  </conditionalFormatting>
  <conditionalFormatting sqref="J89:J102">
    <cfRule type="expression" dxfId="1380" priority="15">
      <formula>J89&gt;0</formula>
    </cfRule>
    <cfRule type="expression" dxfId="1379" priority="16">
      <formula>J89&lt;0</formula>
    </cfRule>
  </conditionalFormatting>
  <conditionalFormatting sqref="K89:K102">
    <cfRule type="expression" dxfId="1378" priority="13">
      <formula>K89&gt;0</formula>
    </cfRule>
    <cfRule type="expression" dxfId="1377" priority="14">
      <formula>K89&lt;0</formula>
    </cfRule>
  </conditionalFormatting>
  <conditionalFormatting sqref="L89:L102">
    <cfRule type="expression" dxfId="1376" priority="11">
      <formula>L89&gt;0</formula>
    </cfRule>
    <cfRule type="expression" dxfId="1375" priority="12">
      <formula>L89&lt;0</formula>
    </cfRule>
  </conditionalFormatting>
  <conditionalFormatting sqref="F25:F28">
    <cfRule type="expression" dxfId="1374" priority="9">
      <formula>F25&gt;0</formula>
    </cfRule>
    <cfRule type="expression" dxfId="1373" priority="10">
      <formula>F25&lt;0</formula>
    </cfRule>
  </conditionalFormatting>
  <conditionalFormatting sqref="H25:H28">
    <cfRule type="expression" dxfId="1372" priority="7">
      <formula>H25&gt;0</formula>
    </cfRule>
    <cfRule type="expression" dxfId="1371" priority="8">
      <formula>H25&lt;0</formula>
    </cfRule>
  </conditionalFormatting>
  <conditionalFormatting sqref="F29:F30">
    <cfRule type="expression" dxfId="1370" priority="3">
      <formula>F29&gt;0</formula>
    </cfRule>
    <cfRule type="expression" dxfId="1369" priority="4">
      <formula>F29&lt;0</formula>
    </cfRule>
  </conditionalFormatting>
  <conditionalFormatting sqref="H29:H30">
    <cfRule type="expression" dxfId="1368" priority="1">
      <formula>H29&gt;0</formula>
    </cfRule>
    <cfRule type="expression" dxfId="1367" priority="2">
      <formula>H29&lt;0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2"/>
  <sheetViews>
    <sheetView workbookViewId="0">
      <pane ySplit="1" topLeftCell="A59" activePane="bottomLeft" state="frozen"/>
      <selection activeCell="A2" sqref="A2"/>
      <selection pane="bottomLeft" activeCell="U64" sqref="U64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727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10" si="1">H2*I2-J2</f>
        <v>6747.84</v>
      </c>
      <c r="L2" s="72">
        <v>43082</v>
      </c>
      <c r="M2" s="43">
        <v>80</v>
      </c>
      <c r="O2" s="11" t="s">
        <v>57</v>
      </c>
      <c r="Q2">
        <f>C24-H24</f>
        <v>200</v>
      </c>
      <c r="U2" t="s">
        <v>1013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(F24-K24-M24)/Q2)</f>
        <v>62.082000000000043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68.64</v>
      </c>
      <c r="R4" s="495">
        <v>1.6299999999999999E-2</v>
      </c>
      <c r="T4" s="1">
        <v>43114</v>
      </c>
      <c r="U4" t="s">
        <v>878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13728</v>
      </c>
      <c r="T5" s="1"/>
      <c r="U5" t="s">
        <v>1154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12416.400000000009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1311.5999999999913</v>
      </c>
      <c r="R7" s="29">
        <v>43311</v>
      </c>
      <c r="T7" s="1">
        <v>43187</v>
      </c>
      <c r="U7" t="s">
        <v>969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K24+M24-F24+Q2*Q4</f>
        <v>1311.5999999999913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34">
        <v>43286</v>
      </c>
      <c r="H9" s="80">
        <v>100</v>
      </c>
      <c r="I9" s="507">
        <v>62.38</v>
      </c>
      <c r="J9" s="43">
        <v>0.08</v>
      </c>
      <c r="K9" s="43">
        <f t="shared" si="1"/>
        <v>6237.92</v>
      </c>
      <c r="L9" s="4"/>
      <c r="M9" s="4"/>
      <c r="O9" s="11" t="s">
        <v>207</v>
      </c>
      <c r="Q9" s="134">
        <f>IF(Q2=0, 0, Q8/Q6)</f>
        <v>0.10563448342514661</v>
      </c>
      <c r="T9" s="1">
        <v>43212</v>
      </c>
      <c r="U9" t="s">
        <v>1014</v>
      </c>
      <c r="V9" s="134"/>
    </row>
    <row r="10" spans="1:22" x14ac:dyDescent="0.25">
      <c r="A10" t="s">
        <v>774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434">
        <v>43287</v>
      </c>
      <c r="H10" s="80">
        <v>100</v>
      </c>
      <c r="I10" s="507">
        <v>63.53</v>
      </c>
      <c r="J10" s="43">
        <v>0.57999999999999996</v>
      </c>
      <c r="K10" s="43">
        <f t="shared" si="1"/>
        <v>6352.42</v>
      </c>
      <c r="O10" s="11" t="s">
        <v>206</v>
      </c>
      <c r="P10" s="33"/>
      <c r="Q10" s="2">
        <f>M88</f>
        <v>0</v>
      </c>
      <c r="U10" t="s">
        <v>1015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2.3310023310023312E-2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938</v>
      </c>
      <c r="Q12" s="1" t="s">
        <v>1155</v>
      </c>
      <c r="T12" s="1">
        <v>43237</v>
      </c>
      <c r="U12" t="s">
        <v>1079</v>
      </c>
      <c r="V12" s="134"/>
    </row>
    <row r="13" spans="1:22" x14ac:dyDescent="0.25">
      <c r="B13" s="434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H13" s="70"/>
      <c r="O13" s="11" t="s">
        <v>965</v>
      </c>
      <c r="Q13" s="2">
        <f>Q4/(5.9+6.05)*2</f>
        <v>11.487866108786612</v>
      </c>
      <c r="V13" s="134"/>
    </row>
    <row r="14" spans="1:22" x14ac:dyDescent="0.25">
      <c r="B14" s="434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1102</v>
      </c>
      <c r="T14" s="1">
        <v>43242</v>
      </c>
      <c r="U14" t="s">
        <v>1065</v>
      </c>
      <c r="V14" s="134"/>
    </row>
    <row r="15" spans="1:22" x14ac:dyDescent="0.25">
      <c r="B15" s="474">
        <v>43279</v>
      </c>
      <c r="C15" s="4">
        <v>200</v>
      </c>
      <c r="D15" s="2">
        <v>59.56</v>
      </c>
      <c r="E15" s="2">
        <v>0</v>
      </c>
      <c r="F15" s="2">
        <f t="shared" si="0"/>
        <v>11912</v>
      </c>
      <c r="H15" s="70"/>
      <c r="O15" s="11" t="s">
        <v>1031</v>
      </c>
      <c r="Q15" s="29">
        <v>43285</v>
      </c>
      <c r="V15" s="134"/>
    </row>
    <row r="16" spans="1:22" x14ac:dyDescent="0.25">
      <c r="C16" s="4"/>
      <c r="D16" s="3"/>
      <c r="E16" s="3"/>
      <c r="F16" s="3"/>
      <c r="H16" s="70"/>
      <c r="T16" s="1">
        <v>43260</v>
      </c>
      <c r="U16" t="s">
        <v>1116</v>
      </c>
      <c r="V16" s="134"/>
    </row>
    <row r="17" spans="1:22" x14ac:dyDescent="0.25">
      <c r="T17" s="1">
        <v>43271</v>
      </c>
      <c r="U17" t="s">
        <v>1135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1134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1146</v>
      </c>
      <c r="V20" s="134"/>
    </row>
    <row r="21" spans="1:22" ht="20.25" thickBot="1" x14ac:dyDescent="0.35">
      <c r="O21" s="857" t="s">
        <v>78</v>
      </c>
      <c r="P21" s="857"/>
      <c r="U21" t="s">
        <v>1153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75.504000000000005</v>
      </c>
      <c r="V22" s="134"/>
    </row>
    <row r="23" spans="1:22" x14ac:dyDescent="0.25">
      <c r="O23" s="81">
        <v>1.0900000000000001</v>
      </c>
      <c r="P23" s="81">
        <f t="shared" ref="P23:P42" si="2">O23*$Q$4</f>
        <v>74.817600000000013</v>
      </c>
      <c r="T23" s="1">
        <v>43285</v>
      </c>
      <c r="U23" t="s">
        <v>1149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SUM(H2:H10)</f>
        <v>750</v>
      </c>
      <c r="I24" s="791"/>
      <c r="J24" s="18"/>
      <c r="K24" s="18">
        <f>SUM(K2:K10)</f>
        <v>51386.539999999994</v>
      </c>
      <c r="L24" s="14"/>
      <c r="M24" s="18">
        <f>SUM(M2:M10)</f>
        <v>260</v>
      </c>
      <c r="O24" s="81">
        <v>1.08</v>
      </c>
      <c r="P24" s="81">
        <f t="shared" si="2"/>
        <v>74.131200000000007</v>
      </c>
      <c r="U24" t="s">
        <v>1150</v>
      </c>
      <c r="V24" s="134"/>
    </row>
    <row r="25" spans="1:22" ht="15.75" thickBot="1" x14ac:dyDescent="0.3">
      <c r="A25" s="341" t="s">
        <v>193</v>
      </c>
      <c r="B25" s="342"/>
      <c r="C25" s="343">
        <f>SumByColor($A$25,C2:C23)</f>
        <v>750</v>
      </c>
      <c r="D25" s="343"/>
      <c r="E25" s="343"/>
      <c r="F25" s="344">
        <f>SumByColor($A$25,F2:F23)</f>
        <v>52151</v>
      </c>
      <c r="G25" s="343"/>
      <c r="H25" s="343">
        <f>SumByColor($A$25,H2:H23)</f>
        <v>750</v>
      </c>
      <c r="I25" s="792"/>
      <c r="J25" s="343"/>
      <c r="K25" s="344">
        <f>SumByColor($A$25,K2:K23)</f>
        <v>51387</v>
      </c>
      <c r="L25" s="343"/>
      <c r="M25" s="344">
        <f>SumByColor($A$25,M2:M23)</f>
        <v>260</v>
      </c>
      <c r="O25" s="81">
        <v>1.07</v>
      </c>
      <c r="P25" s="81">
        <f t="shared" si="2"/>
        <v>73.444800000000001</v>
      </c>
      <c r="U25" t="s">
        <v>1151</v>
      </c>
      <c r="V25" s="134"/>
    </row>
    <row r="26" spans="1:22" x14ac:dyDescent="0.25">
      <c r="O26" s="81">
        <v>1.06</v>
      </c>
      <c r="P26" s="81">
        <f t="shared" si="2"/>
        <v>72.758400000000009</v>
      </c>
      <c r="U26" t="s">
        <v>1152</v>
      </c>
      <c r="V26" s="134"/>
    </row>
    <row r="27" spans="1:22" x14ac:dyDescent="0.25">
      <c r="O27" s="81">
        <v>1.05</v>
      </c>
      <c r="P27" s="81">
        <f t="shared" si="2"/>
        <v>72.072000000000003</v>
      </c>
      <c r="V27" s="134"/>
    </row>
    <row r="28" spans="1:22" x14ac:dyDescent="0.25">
      <c r="O28" s="81">
        <v>1.04</v>
      </c>
      <c r="P28" s="81">
        <f t="shared" si="2"/>
        <v>71.385599999999997</v>
      </c>
      <c r="V28" s="134"/>
    </row>
    <row r="29" spans="1:22" x14ac:dyDescent="0.25">
      <c r="O29" s="81">
        <v>1.03</v>
      </c>
      <c r="P29" s="81">
        <f t="shared" si="2"/>
        <v>70.699200000000005</v>
      </c>
      <c r="V29" s="134"/>
    </row>
    <row r="30" spans="1:22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662</v>
      </c>
      <c r="L30" s="220" t="s">
        <v>494</v>
      </c>
      <c r="M30" s="220" t="s">
        <v>965</v>
      </c>
      <c r="O30" s="81">
        <v>1.02</v>
      </c>
      <c r="P30" s="81">
        <f t="shared" si="2"/>
        <v>70.012799999999999</v>
      </c>
      <c r="T30" s="156">
        <v>43318</v>
      </c>
      <c r="U30" t="s">
        <v>1177</v>
      </c>
      <c r="V30" s="134"/>
    </row>
    <row r="31" spans="1:22" x14ac:dyDescent="0.25">
      <c r="B31" s="18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222">
        <f>(E31-D31)/D31</f>
        <v>1.6033547113960959E-3</v>
      </c>
      <c r="I31" s="193">
        <v>80.5</v>
      </c>
      <c r="J31" s="39"/>
      <c r="K31" s="39"/>
      <c r="L31" s="39"/>
      <c r="M31" s="39"/>
      <c r="O31" s="81">
        <v>1.01</v>
      </c>
      <c r="P31" s="81">
        <f t="shared" si="2"/>
        <v>69.326400000000007</v>
      </c>
      <c r="V31" s="134"/>
    </row>
    <row r="32" spans="1:22" x14ac:dyDescent="0.25">
      <c r="A32" s="1">
        <v>43028</v>
      </c>
      <c r="B32" s="184">
        <v>43014</v>
      </c>
      <c r="C32" s="10">
        <v>100</v>
      </c>
      <c r="D32" s="39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222">
        <f>(E32-D32)/D32</f>
        <v>-2.9675108723458778E-2</v>
      </c>
      <c r="I32" s="193">
        <v>78</v>
      </c>
      <c r="J32" s="39"/>
      <c r="K32" s="39"/>
      <c r="L32" s="39"/>
      <c r="M32" s="39"/>
      <c r="O32" s="81">
        <v>1</v>
      </c>
      <c r="P32" s="81">
        <f t="shared" si="2"/>
        <v>68.64</v>
      </c>
      <c r="V32" s="134"/>
    </row>
    <row r="33" spans="1:22" x14ac:dyDescent="0.25">
      <c r="A33" s="1">
        <v>43028</v>
      </c>
      <c r="B33" s="18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222">
        <f>(E33-D33)/D33</f>
        <v>-4.3564974978206328E-2</v>
      </c>
      <c r="I33" s="193">
        <v>76</v>
      </c>
      <c r="J33" s="39"/>
      <c r="K33" s="39"/>
      <c r="L33" s="155"/>
      <c r="M33" s="155"/>
      <c r="O33" s="81">
        <v>0.99</v>
      </c>
      <c r="P33" s="81">
        <f t="shared" si="2"/>
        <v>67.953599999999994</v>
      </c>
      <c r="V33" s="134"/>
    </row>
    <row r="34" spans="1:22" x14ac:dyDescent="0.25">
      <c r="A34" s="1">
        <v>43028</v>
      </c>
      <c r="B34" s="18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222">
        <f>(E34-D34)/D34</f>
        <v>-5.7955602818024712E-2</v>
      </c>
      <c r="I34" s="193">
        <v>75</v>
      </c>
      <c r="J34" s="39"/>
      <c r="K34" s="39"/>
      <c r="L34" s="155"/>
      <c r="M34" s="155"/>
      <c r="O34" s="81">
        <v>0.98</v>
      </c>
      <c r="P34" s="81">
        <f t="shared" si="2"/>
        <v>67.267200000000003</v>
      </c>
      <c r="V34" s="134"/>
    </row>
    <row r="35" spans="1:22" x14ac:dyDescent="0.25">
      <c r="B35" s="18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222">
        <f>(E35-D35)/D35</f>
        <v>-5.7955602818024712E-2</v>
      </c>
      <c r="I35" s="193"/>
      <c r="J35" s="39"/>
      <c r="K35" s="39"/>
      <c r="L35" s="727"/>
      <c r="M35" s="727"/>
      <c r="O35" s="81">
        <v>0.97</v>
      </c>
      <c r="P35" s="81">
        <f t="shared" si="2"/>
        <v>66.580799999999996</v>
      </c>
      <c r="V35" s="134"/>
    </row>
    <row r="36" spans="1:22" x14ac:dyDescent="0.25">
      <c r="B36" s="18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222">
        <f t="shared" ref="H36:H46" si="5">(E36-D36)/D36</f>
        <v>-0.10195400770969031</v>
      </c>
      <c r="I36" s="193"/>
      <c r="J36" s="39"/>
      <c r="K36" s="39"/>
      <c r="L36" s="39">
        <v>15.91</v>
      </c>
      <c r="M36" s="727"/>
      <c r="O36" s="81">
        <v>0.96</v>
      </c>
      <c r="P36" s="81">
        <f t="shared" si="2"/>
        <v>65.894400000000005</v>
      </c>
      <c r="V36" s="134"/>
    </row>
    <row r="37" spans="1:22" x14ac:dyDescent="0.25">
      <c r="B37" s="18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222">
        <f t="shared" si="5"/>
        <v>-8.6230309614339959E-2</v>
      </c>
      <c r="I37" s="193">
        <v>73.2</v>
      </c>
      <c r="J37" s="39"/>
      <c r="K37" s="39"/>
      <c r="L37" s="727"/>
      <c r="M37" s="727"/>
      <c r="O37" s="81">
        <v>0.95</v>
      </c>
      <c r="P37" s="81">
        <f t="shared" si="2"/>
        <v>65.207999999999998</v>
      </c>
      <c r="V37" s="134"/>
    </row>
    <row r="38" spans="1:22" x14ac:dyDescent="0.25">
      <c r="B38" s="18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222">
        <f t="shared" si="5"/>
        <v>-0.10939410212965534</v>
      </c>
      <c r="I38" s="193">
        <v>71.5</v>
      </c>
      <c r="J38" s="39"/>
      <c r="K38" s="39"/>
      <c r="L38" s="727"/>
      <c r="M38" s="727"/>
      <c r="O38" s="81">
        <v>0.94</v>
      </c>
      <c r="P38" s="81">
        <f t="shared" si="2"/>
        <v>64.521599999999992</v>
      </c>
      <c r="V38" s="134"/>
    </row>
    <row r="39" spans="1:22" x14ac:dyDescent="0.25">
      <c r="A39" s="29"/>
      <c r="B39" s="18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222">
        <f t="shared" si="5"/>
        <v>-9.8792562248002133E-2</v>
      </c>
      <c r="I39" s="193" t="s">
        <v>754</v>
      </c>
      <c r="J39" s="39"/>
      <c r="K39" s="39"/>
      <c r="L39" s="727"/>
      <c r="M39" s="727"/>
      <c r="O39" s="81">
        <v>0.93</v>
      </c>
      <c r="P39" s="81">
        <f t="shared" si="2"/>
        <v>63.8352</v>
      </c>
      <c r="V39" s="134"/>
    </row>
    <row r="40" spans="1:22" x14ac:dyDescent="0.25">
      <c r="B40" s="18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222">
        <f t="shared" si="5"/>
        <v>-5.6948480155899379E-2</v>
      </c>
      <c r="I40" s="193" t="s">
        <v>756</v>
      </c>
      <c r="J40" s="39"/>
      <c r="K40" s="39"/>
      <c r="L40" s="727"/>
      <c r="M40" s="727"/>
      <c r="O40" s="81">
        <v>0.92</v>
      </c>
      <c r="P40" s="81">
        <f t="shared" si="2"/>
        <v>63.148800000000001</v>
      </c>
    </row>
    <row r="41" spans="1:22" x14ac:dyDescent="0.25">
      <c r="B41" s="18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222">
        <f t="shared" si="5"/>
        <v>-3.885658624714651E-2</v>
      </c>
      <c r="I41" s="193"/>
      <c r="J41" s="39"/>
      <c r="K41" s="39"/>
      <c r="L41" s="727"/>
      <c r="M41" s="727"/>
      <c r="O41" s="81">
        <v>0.91</v>
      </c>
      <c r="P41" s="81">
        <f t="shared" si="2"/>
        <v>62.462400000000002</v>
      </c>
      <c r="Q41" s="2"/>
    </row>
    <row r="42" spans="1:22" x14ac:dyDescent="0.25">
      <c r="A42">
        <v>100</v>
      </c>
      <c r="B42" s="18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222">
        <f t="shared" si="5"/>
        <v>-1.4743638352958912E-2</v>
      </c>
      <c r="I42" s="193" t="s">
        <v>761</v>
      </c>
      <c r="J42" s="39"/>
      <c r="K42" s="39"/>
      <c r="L42" s="727"/>
      <c r="M42" s="727"/>
      <c r="O42" s="81">
        <v>0.9</v>
      </c>
      <c r="P42" s="81">
        <f t="shared" si="2"/>
        <v>61.776000000000003</v>
      </c>
      <c r="Q42" s="2"/>
    </row>
    <row r="43" spans="1:22" x14ac:dyDescent="0.25">
      <c r="A43">
        <v>100</v>
      </c>
      <c r="B43" s="18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222">
        <f t="shared" si="5"/>
        <v>-2.1762110331376056E-2</v>
      </c>
      <c r="I43" s="193" t="s">
        <v>765</v>
      </c>
      <c r="J43" s="39"/>
      <c r="K43" s="39"/>
      <c r="L43" s="39"/>
      <c r="M43" s="39"/>
      <c r="Q43" s="2"/>
    </row>
    <row r="44" spans="1:22" x14ac:dyDescent="0.25">
      <c r="A44">
        <v>0</v>
      </c>
      <c r="B44" s="18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222">
        <f t="shared" si="5"/>
        <v>3.8287980309038858E-3</v>
      </c>
      <c r="I44" s="193" t="s">
        <v>772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222">
        <f t="shared" si="5"/>
        <v>-1.4988223439588328E-2</v>
      </c>
      <c r="I45" s="193" t="s">
        <v>836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222">
        <f t="shared" si="5"/>
        <v>2.0125515168981138E-2</v>
      </c>
      <c r="I46" s="193" t="s">
        <v>842</v>
      </c>
      <c r="J46" s="39"/>
      <c r="K46" s="39"/>
      <c r="L46" s="39"/>
      <c r="M46" s="39"/>
      <c r="Q46" s="2"/>
    </row>
    <row r="47" spans="1:22" x14ac:dyDescent="0.25">
      <c r="A47" s="1"/>
      <c r="B47" s="18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222">
        <f>(E47-D47)/D47</f>
        <v>3.3135892693763706E-2</v>
      </c>
      <c r="I47" s="193"/>
      <c r="J47" s="39"/>
      <c r="K47" s="39"/>
      <c r="L47" s="39"/>
      <c r="M47" s="39"/>
      <c r="Q47" s="2"/>
    </row>
    <row r="48" spans="1:22" x14ac:dyDescent="0.25">
      <c r="A48">
        <v>50</v>
      </c>
      <c r="B48" s="18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222">
        <f t="shared" ref="H48:H53" si="8">(E48-D48)/D48</f>
        <v>6.0135923471000961E-2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43136</v>
      </c>
      <c r="C49" s="10">
        <v>100</v>
      </c>
      <c r="D49" s="39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222">
        <f t="shared" si="8"/>
        <v>-5.5785307751065553E-3</v>
      </c>
      <c r="I49" s="193"/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222">
        <f t="shared" si="8"/>
        <v>-2.6032431321152405E-2</v>
      </c>
      <c r="I50" s="193" t="s">
        <v>945</v>
      </c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222">
        <f t="shared" si="8"/>
        <v>-5.7281970499773794E-4</v>
      </c>
      <c r="I51" s="193" t="s">
        <v>946</v>
      </c>
      <c r="J51" s="39"/>
      <c r="K51" s="39"/>
      <c r="L51" s="39"/>
      <c r="M51" s="39"/>
      <c r="Q51" s="2"/>
    </row>
    <row r="52" spans="1:22" x14ac:dyDescent="0.25">
      <c r="A52">
        <v>0</v>
      </c>
      <c r="B52" s="18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222">
        <f t="shared" si="8"/>
        <v>8.9182968929805029E-3</v>
      </c>
      <c r="I52" s="193" t="s">
        <v>947</v>
      </c>
      <c r="J52" s="39"/>
      <c r="K52" s="39"/>
      <c r="L52" s="39"/>
      <c r="M52" s="39"/>
      <c r="Q52" s="2"/>
    </row>
    <row r="53" spans="1:22" x14ac:dyDescent="0.25">
      <c r="A53">
        <v>0</v>
      </c>
      <c r="B53" s="18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222">
        <f t="shared" si="8"/>
        <v>-3.0010965545104835E-3</v>
      </c>
      <c r="I53" s="19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8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222">
        <f t="shared" ref="H54:H60" si="11">(E54-D54)/D54</f>
        <v>1.8641426675131113E-2</v>
      </c>
      <c r="I54" s="193"/>
      <c r="J54" s="39"/>
      <c r="K54" s="39"/>
      <c r="L54" s="39"/>
      <c r="M54" s="39"/>
    </row>
    <row r="55" spans="1:22" x14ac:dyDescent="0.25">
      <c r="A55">
        <v>50</v>
      </c>
      <c r="B55" s="18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222">
        <f t="shared" si="11"/>
        <v>2.2779967539995404E-2</v>
      </c>
      <c r="I55" s="193" t="s">
        <v>185</v>
      </c>
      <c r="J55" s="39"/>
      <c r="K55" s="39"/>
      <c r="L55" s="39"/>
      <c r="M55" s="39"/>
    </row>
    <row r="56" spans="1:22" x14ac:dyDescent="0.25">
      <c r="A56">
        <v>50</v>
      </c>
      <c r="B56" s="18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222">
        <f t="shared" si="11"/>
        <v>-2.0838163691166277E-2</v>
      </c>
      <c r="I56" s="193"/>
      <c r="J56" s="39"/>
      <c r="K56" s="39"/>
      <c r="L56" s="39"/>
      <c r="M56" s="39"/>
    </row>
    <row r="57" spans="1:22" x14ac:dyDescent="0.25">
      <c r="A57">
        <v>50</v>
      </c>
      <c r="B57" s="18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222">
        <f t="shared" si="11"/>
        <v>-3.4604683514954659E-2</v>
      </c>
      <c r="I57" s="193"/>
      <c r="J57" s="39"/>
      <c r="K57" s="39"/>
      <c r="L57" s="39"/>
      <c r="M57" s="39"/>
    </row>
    <row r="58" spans="1:22" x14ac:dyDescent="0.25">
      <c r="A58">
        <v>50</v>
      </c>
      <c r="B58" s="18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222">
        <f t="shared" si="11"/>
        <v>-4.4168792024113175E-2</v>
      </c>
      <c r="I58" s="193"/>
      <c r="J58" s="39"/>
      <c r="K58" s="39"/>
      <c r="L58" s="39"/>
      <c r="M58" s="39"/>
    </row>
    <row r="59" spans="1:22" x14ac:dyDescent="0.25">
      <c r="A59">
        <v>200</v>
      </c>
      <c r="B59" s="18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222">
        <f t="shared" si="11"/>
        <v>-8.0251565035937819E-2</v>
      </c>
      <c r="I59" s="19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8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222">
        <f t="shared" si="11"/>
        <v>-4.0428923344442924E-2</v>
      </c>
      <c r="I60" s="19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8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222">
        <f t="shared" ref="H61:H68" si="14">(E61-D61)/D61</f>
        <v>-2.7532241704100936E-2</v>
      </c>
      <c r="I61" s="193"/>
      <c r="J61" s="39"/>
      <c r="K61" s="39"/>
      <c r="L61" s="39"/>
      <c r="M61" s="39">
        <v>11.28</v>
      </c>
    </row>
    <row r="62" spans="1:22" x14ac:dyDescent="0.25">
      <c r="A62" s="4">
        <v>200</v>
      </c>
      <c r="B62" s="18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222">
        <f t="shared" si="14"/>
        <v>-7.5351398348065535E-2</v>
      </c>
      <c r="I62" s="19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8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222">
        <f t="shared" si="14"/>
        <v>-6.4116148048541072E-2</v>
      </c>
      <c r="I63" s="19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8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222">
        <f t="shared" si="14"/>
        <v>-1.3357346540597339E-2</v>
      </c>
      <c r="I64" s="19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8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222">
        <f t="shared" si="14"/>
        <v>-3.1967582170193541E-2</v>
      </c>
      <c r="I65" s="19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8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222">
        <f t="shared" si="14"/>
        <v>-3.8232158980073178E-2</v>
      </c>
      <c r="I66" s="19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8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222">
        <f t="shared" si="14"/>
        <v>-6.5255268585372181E-3</v>
      </c>
      <c r="I67" s="19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8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222">
        <f t="shared" si="14"/>
        <v>3.8584958540604952E-2</v>
      </c>
      <c r="I68" s="19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8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6" si="15">C69*(E69-D69)</f>
        <v>157.26000000000226</v>
      </c>
      <c r="G69" s="39">
        <f t="shared" ref="G69:G76" si="16">D69*C69</f>
        <v>13094.739999999998</v>
      </c>
      <c r="H69" s="222">
        <f t="shared" ref="H69:H76" si="17">(E69-D69)/D69</f>
        <v>1.2009402248536609E-2</v>
      </c>
      <c r="I69" s="19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8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222">
        <f t="shared" si="17"/>
        <v>-4.5059743749700079E-2</v>
      </c>
      <c r="I70" s="19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8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222">
        <f t="shared" si="17"/>
        <v>-2.2232885476647479E-2</v>
      </c>
      <c r="I71" s="193"/>
      <c r="J71" s="39"/>
      <c r="K71" s="39"/>
      <c r="L71" s="39"/>
      <c r="M71" s="39">
        <v>10.27</v>
      </c>
    </row>
    <row r="72" spans="1:22" x14ac:dyDescent="0.25">
      <c r="A72" s="4">
        <v>200</v>
      </c>
      <c r="B72" s="18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222">
        <f t="shared" si="17"/>
        <v>-2.8150991682661629E-2</v>
      </c>
      <c r="I72" s="193"/>
      <c r="J72" s="39"/>
      <c r="K72" s="39"/>
      <c r="L72" s="39"/>
      <c r="M72" s="39">
        <v>10.17</v>
      </c>
    </row>
    <row r="73" spans="1:22" x14ac:dyDescent="0.25">
      <c r="A73" s="4">
        <v>100</v>
      </c>
      <c r="B73" s="18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222">
        <f t="shared" si="17"/>
        <v>-2.9250515480395735E-3</v>
      </c>
      <c r="I73" s="193"/>
      <c r="J73" s="39"/>
      <c r="K73" s="39"/>
      <c r="L73" s="39"/>
      <c r="M73" s="39">
        <v>10.44</v>
      </c>
    </row>
    <row r="74" spans="1:22" x14ac:dyDescent="0.25">
      <c r="A74" s="4">
        <v>0</v>
      </c>
      <c r="B74" s="18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222">
        <f t="shared" si="17"/>
        <v>2.3356958762886643E-2</v>
      </c>
      <c r="I74" s="193"/>
      <c r="J74" s="39"/>
      <c r="K74" s="39"/>
      <c r="L74" s="39"/>
      <c r="M74" s="39">
        <v>10.63</v>
      </c>
    </row>
    <row r="75" spans="1:22" x14ac:dyDescent="0.25">
      <c r="A75" s="4">
        <v>0</v>
      </c>
      <c r="B75" s="18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222">
        <f t="shared" si="17"/>
        <v>6.4755154639175194E-2</v>
      </c>
      <c r="I75" s="193"/>
      <c r="J75" s="39"/>
      <c r="K75" s="39"/>
      <c r="L75" s="39"/>
      <c r="M75" s="39">
        <v>11.07</v>
      </c>
    </row>
    <row r="76" spans="1:22" x14ac:dyDescent="0.25">
      <c r="A76" s="4">
        <v>0</v>
      </c>
      <c r="B76" s="18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222">
        <f t="shared" si="17"/>
        <v>4.5908505154639311E-2</v>
      </c>
      <c r="I76" s="193"/>
      <c r="J76" s="39"/>
      <c r="K76" s="39"/>
      <c r="L76" s="39"/>
      <c r="M76" s="39">
        <v>10.87</v>
      </c>
    </row>
    <row r="77" spans="1:22" x14ac:dyDescent="0.25">
      <c r="A77" s="4"/>
      <c r="B77" s="184"/>
      <c r="C77" s="10"/>
      <c r="D77" s="39"/>
      <c r="E77" s="39"/>
      <c r="F77" s="39"/>
      <c r="G77" s="39"/>
      <c r="H77" s="222"/>
      <c r="I77" s="193"/>
      <c r="J77" s="39"/>
      <c r="K77" s="39"/>
      <c r="L77" s="39"/>
      <c r="M77" s="39"/>
    </row>
    <row r="78" spans="1:22" x14ac:dyDescent="0.25">
      <c r="A78" s="4"/>
      <c r="B78" s="184"/>
      <c r="C78" s="10"/>
      <c r="D78" s="39"/>
      <c r="E78" s="39"/>
      <c r="F78" s="39"/>
      <c r="G78" s="39"/>
      <c r="H78" s="222"/>
      <c r="I78" s="193"/>
      <c r="J78" s="39"/>
      <c r="K78" s="39"/>
      <c r="L78" s="39"/>
      <c r="M78" s="39"/>
    </row>
    <row r="79" spans="1:22" x14ac:dyDescent="0.25">
      <c r="A79" s="4"/>
      <c r="B79" s="184"/>
      <c r="C79" s="10"/>
      <c r="D79" s="39"/>
      <c r="E79" s="39"/>
      <c r="F79" s="39"/>
      <c r="G79" s="39"/>
      <c r="H79" s="222"/>
      <c r="I79" s="193"/>
      <c r="J79" s="39"/>
      <c r="K79" s="39"/>
      <c r="L79" s="39"/>
      <c r="M79" s="39"/>
    </row>
    <row r="80" spans="1:22" x14ac:dyDescent="0.25">
      <c r="A80" s="4"/>
      <c r="B80" s="184"/>
      <c r="C80" s="10"/>
      <c r="D80" s="39"/>
      <c r="E80" s="39"/>
      <c r="F80" s="39"/>
      <c r="G80" s="39"/>
      <c r="H80" s="222"/>
      <c r="I80" s="193"/>
      <c r="J80" s="39"/>
      <c r="K80" s="39"/>
      <c r="L80" s="39"/>
      <c r="M80" s="39"/>
    </row>
    <row r="81" spans="1:13" x14ac:dyDescent="0.25">
      <c r="A81" s="4"/>
      <c r="B81" s="184"/>
      <c r="C81" s="10"/>
      <c r="D81" s="39"/>
      <c r="E81" s="39"/>
      <c r="F81" s="39"/>
      <c r="G81" s="39"/>
      <c r="H81" s="222"/>
      <c r="I81" s="193"/>
      <c r="J81" s="39"/>
      <c r="K81" s="39"/>
      <c r="L81" s="39"/>
      <c r="M81" s="39"/>
    </row>
    <row r="82" spans="1:13" x14ac:dyDescent="0.25">
      <c r="A82" s="4"/>
      <c r="B82" s="184"/>
      <c r="C82" s="10"/>
      <c r="D82" s="39"/>
      <c r="E82" s="39"/>
      <c r="F82" s="39"/>
      <c r="G82" s="39"/>
      <c r="H82" s="222"/>
      <c r="I82" s="193"/>
      <c r="J82" s="39"/>
      <c r="K82" s="39"/>
      <c r="L82" s="39"/>
      <c r="M82" s="39"/>
    </row>
    <row r="83" spans="1:13" x14ac:dyDescent="0.25">
      <c r="A83" s="4"/>
      <c r="B83" s="184"/>
      <c r="C83" s="10"/>
      <c r="D83" s="39"/>
      <c r="E83" s="39"/>
      <c r="F83" s="39"/>
      <c r="G83" s="39"/>
      <c r="H83" s="222"/>
      <c r="I83" s="193"/>
      <c r="J83" s="39"/>
      <c r="K83" s="39"/>
      <c r="L83" s="39"/>
      <c r="M83" s="39"/>
    </row>
    <row r="84" spans="1:13" x14ac:dyDescent="0.25">
      <c r="A84" s="4"/>
      <c r="B84" s="184"/>
      <c r="C84" s="10"/>
      <c r="D84" s="39"/>
      <c r="E84" s="39"/>
      <c r="F84" s="39"/>
      <c r="G84" s="39"/>
      <c r="H84" s="222"/>
      <c r="I84" s="193"/>
      <c r="J84" s="39"/>
      <c r="K84" s="39"/>
      <c r="L84" s="39"/>
      <c r="M84" s="39"/>
    </row>
    <row r="85" spans="1:13" x14ac:dyDescent="0.25">
      <c r="A85" s="4"/>
      <c r="B85" s="184"/>
      <c r="C85" s="10"/>
      <c r="D85" s="39"/>
      <c r="E85" s="39"/>
      <c r="F85" s="39"/>
      <c r="G85" s="39"/>
      <c r="H85" s="222"/>
      <c r="I85" s="193"/>
      <c r="J85" s="39"/>
      <c r="K85" s="39"/>
      <c r="L85" s="39"/>
      <c r="M85" s="39"/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193"/>
      <c r="J86" s="39"/>
      <c r="K86" s="39"/>
      <c r="L86" s="39"/>
      <c r="M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554"/>
      <c r="J87" s="3"/>
      <c r="K87" s="3"/>
      <c r="L87" s="4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554"/>
      <c r="J88" s="3"/>
      <c r="K88" s="3"/>
      <c r="L88" s="4" t="s">
        <v>65</v>
      </c>
      <c r="M88" s="2">
        <f>M106+K106-F106</f>
        <v>0</v>
      </c>
    </row>
    <row r="89" spans="1:13" x14ac:dyDescent="0.25">
      <c r="A89" s="510" t="s">
        <v>1</v>
      </c>
      <c r="B89" s="510" t="s">
        <v>2</v>
      </c>
      <c r="C89" s="510" t="s">
        <v>4</v>
      </c>
      <c r="D89" s="511" t="s">
        <v>5</v>
      </c>
      <c r="E89" s="511" t="s">
        <v>94</v>
      </c>
      <c r="F89" s="511" t="s">
        <v>60</v>
      </c>
      <c r="G89" s="510" t="s">
        <v>3</v>
      </c>
      <c r="H89" s="510" t="s">
        <v>6</v>
      </c>
      <c r="I89" s="793" t="s">
        <v>7</v>
      </c>
      <c r="J89" s="511" t="s">
        <v>95</v>
      </c>
      <c r="K89" s="511" t="s">
        <v>61</v>
      </c>
      <c r="L89" s="510" t="s">
        <v>37</v>
      </c>
      <c r="M89" s="510" t="s">
        <v>38</v>
      </c>
    </row>
    <row r="90" spans="1:13" x14ac:dyDescent="0.25">
      <c r="A90" s="512" t="s">
        <v>726</v>
      </c>
      <c r="B90" s="496"/>
      <c r="C90" s="497"/>
      <c r="D90" s="499"/>
      <c r="E90" s="499"/>
      <c r="F90" s="499"/>
      <c r="G90" s="496"/>
      <c r="H90" s="513"/>
      <c r="I90" s="794"/>
      <c r="J90" s="499"/>
      <c r="K90" s="499"/>
      <c r="L90" s="496"/>
      <c r="M90" s="499"/>
    </row>
    <row r="91" spans="1:13" x14ac:dyDescent="0.25">
      <c r="A91" s="514" t="s">
        <v>71</v>
      </c>
      <c r="B91" s="496"/>
      <c r="C91" s="497"/>
      <c r="D91" s="499"/>
      <c r="E91" s="499"/>
      <c r="F91" s="499"/>
      <c r="G91" s="496"/>
      <c r="H91" s="513"/>
      <c r="I91" s="794"/>
      <c r="J91" s="499"/>
      <c r="K91" s="499"/>
      <c r="L91" s="497"/>
      <c r="M91" s="497"/>
    </row>
    <row r="92" spans="1:13" x14ac:dyDescent="0.25">
      <c r="A92" s="497"/>
      <c r="B92" s="496"/>
      <c r="C92" s="497"/>
      <c r="D92" s="499"/>
      <c r="E92" s="499"/>
      <c r="F92" s="499"/>
      <c r="G92" s="496"/>
      <c r="H92" s="513"/>
      <c r="I92" s="794"/>
      <c r="J92" s="499"/>
      <c r="K92" s="499"/>
      <c r="L92" s="497"/>
      <c r="M92" s="497"/>
    </row>
    <row r="93" spans="1:13" x14ac:dyDescent="0.25">
      <c r="A93" s="497"/>
      <c r="B93" s="496"/>
      <c r="C93" s="497"/>
      <c r="D93" s="499"/>
      <c r="E93" s="499"/>
      <c r="F93" s="499"/>
      <c r="G93" s="497"/>
      <c r="H93" s="513"/>
      <c r="I93" s="794"/>
      <c r="J93" s="499"/>
      <c r="K93" s="499"/>
      <c r="L93" s="497"/>
      <c r="M93" s="497"/>
    </row>
    <row r="94" spans="1:13" x14ac:dyDescent="0.25">
      <c r="A94" s="497"/>
      <c r="B94" s="496"/>
      <c r="C94" s="497"/>
      <c r="D94" s="499"/>
      <c r="E94" s="499"/>
      <c r="F94" s="499"/>
      <c r="G94" s="497"/>
      <c r="H94" s="513"/>
      <c r="I94" s="794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794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794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794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794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513"/>
      <c r="I99" s="794"/>
      <c r="J99" s="499"/>
      <c r="K99" s="499"/>
      <c r="L99" s="497"/>
      <c r="M99" s="497"/>
    </row>
    <row r="100" spans="1:13" x14ac:dyDescent="0.25">
      <c r="A100" s="497"/>
      <c r="B100" s="497"/>
      <c r="C100" s="497"/>
      <c r="D100" s="499"/>
      <c r="E100" s="499"/>
      <c r="F100" s="499"/>
      <c r="G100" s="497"/>
      <c r="H100" s="513"/>
      <c r="I100" s="794"/>
      <c r="J100" s="499"/>
      <c r="K100" s="499"/>
      <c r="L100" s="497"/>
      <c r="M100" s="497"/>
    </row>
    <row r="101" spans="1:13" x14ac:dyDescent="0.25">
      <c r="A101" s="497"/>
      <c r="B101" s="497"/>
      <c r="C101" s="497"/>
      <c r="D101" s="499"/>
      <c r="E101" s="499"/>
      <c r="F101" s="499"/>
      <c r="G101" s="497"/>
      <c r="H101" s="513"/>
      <c r="I101" s="794"/>
      <c r="J101" s="499"/>
      <c r="K101" s="499"/>
      <c r="L101" s="497"/>
      <c r="M101" s="497"/>
    </row>
    <row r="102" spans="1:13" x14ac:dyDescent="0.25">
      <c r="A102" s="497"/>
      <c r="B102" s="497"/>
      <c r="C102" s="497"/>
      <c r="D102" s="499"/>
      <c r="E102" s="499"/>
      <c r="F102" s="499"/>
      <c r="G102" s="497"/>
      <c r="H102" s="513"/>
      <c r="I102" s="794"/>
      <c r="J102" s="499"/>
      <c r="K102" s="499"/>
      <c r="L102" s="497"/>
      <c r="M102" s="497"/>
    </row>
    <row r="103" spans="1:13" x14ac:dyDescent="0.25">
      <c r="A103" s="497"/>
      <c r="B103" s="497"/>
      <c r="C103" s="497"/>
      <c r="D103" s="499"/>
      <c r="E103" s="499"/>
      <c r="F103" s="499"/>
      <c r="G103" s="497"/>
      <c r="H103" s="513"/>
      <c r="I103" s="794"/>
      <c r="J103" s="499"/>
      <c r="K103" s="499"/>
      <c r="L103" s="497"/>
      <c r="M103" s="497"/>
    </row>
    <row r="104" spans="1:13" x14ac:dyDescent="0.25">
      <c r="A104" s="497"/>
      <c r="B104" s="497"/>
      <c r="C104" s="497"/>
      <c r="D104" s="499"/>
      <c r="E104" s="499"/>
      <c r="F104" s="499"/>
      <c r="G104" s="497"/>
      <c r="H104" s="513"/>
      <c r="I104" s="794"/>
      <c r="J104" s="499"/>
      <c r="K104" s="499"/>
      <c r="L104" s="497"/>
      <c r="M104" s="497"/>
    </row>
    <row r="105" spans="1:13" x14ac:dyDescent="0.25">
      <c r="A105" s="497"/>
      <c r="B105" s="497"/>
      <c r="C105" s="497"/>
      <c r="D105" s="499"/>
      <c r="E105" s="499"/>
      <c r="F105" s="499"/>
      <c r="G105" s="497"/>
      <c r="H105" s="497"/>
      <c r="I105" s="794"/>
      <c r="J105" s="499"/>
      <c r="K105" s="499"/>
      <c r="L105" s="497"/>
      <c r="M105" s="497"/>
    </row>
    <row r="106" spans="1:13" x14ac:dyDescent="0.25">
      <c r="A106" s="515" t="s">
        <v>81</v>
      </c>
      <c r="B106" s="516"/>
      <c r="C106" s="516">
        <f>SUM(C90:C94)</f>
        <v>0</v>
      </c>
      <c r="D106" s="517"/>
      <c r="E106" s="517"/>
      <c r="F106" s="517">
        <f>SUM(F90:F94)</f>
        <v>0</v>
      </c>
      <c r="G106" s="516"/>
      <c r="H106" s="538">
        <f>SUM(H90:H93)</f>
        <v>0</v>
      </c>
      <c r="I106" s="795"/>
      <c r="J106" s="517"/>
      <c r="K106" s="517">
        <f>SUM(K90:K93)</f>
        <v>0</v>
      </c>
      <c r="L106" s="516"/>
      <c r="M106" s="517">
        <f>SUM(M90:M98)</f>
        <v>0</v>
      </c>
    </row>
    <row r="107" spans="1:13" ht="15.75" thickBot="1" x14ac:dyDescent="0.3">
      <c r="A107" s="518" t="s">
        <v>193</v>
      </c>
      <c r="B107" s="519"/>
      <c r="C107" s="520">
        <f>SumByColor($A$25,C90:C105)</f>
        <v>0</v>
      </c>
      <c r="D107" s="520"/>
      <c r="E107" s="520"/>
      <c r="F107" s="521">
        <f>SumByColor($A$25,F90:F105)</f>
        <v>0</v>
      </c>
      <c r="G107" s="520"/>
      <c r="H107" s="520">
        <f>SumByColor($A$25,H90:H105)</f>
        <v>0</v>
      </c>
      <c r="I107" s="796"/>
      <c r="J107" s="520"/>
      <c r="K107" s="521">
        <f>SumByColor($A$25,K91:K105)</f>
        <v>0</v>
      </c>
      <c r="L107" s="520"/>
      <c r="M107" s="521">
        <f>SumByColor($A$25,M90:M105)</f>
        <v>0</v>
      </c>
    </row>
    <row r="110" spans="1:13" x14ac:dyDescent="0.25">
      <c r="B110" s="182" t="s">
        <v>113</v>
      </c>
      <c r="C110" s="182" t="s">
        <v>146</v>
      </c>
      <c r="D110" s="183" t="s">
        <v>145</v>
      </c>
      <c r="E110" s="185" t="s">
        <v>147</v>
      </c>
      <c r="F110" s="185" t="s">
        <v>65</v>
      </c>
      <c r="G110" s="220" t="s">
        <v>151</v>
      </c>
      <c r="H110" s="220" t="s">
        <v>88</v>
      </c>
      <c r="I110" s="220" t="s">
        <v>154</v>
      </c>
    </row>
    <row r="111" spans="1:13" x14ac:dyDescent="0.25">
      <c r="B111" s="184"/>
      <c r="C111" s="10"/>
      <c r="D111" s="39"/>
      <c r="E111" s="39"/>
      <c r="F111" s="39"/>
      <c r="G111" s="39"/>
      <c r="H111" s="222"/>
      <c r="I111" s="193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193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193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193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193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193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193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193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193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193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193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19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193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193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193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193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193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193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19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193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193"/>
    </row>
  </sheetData>
  <mergeCells count="1">
    <mergeCell ref="O21:P21"/>
  </mergeCells>
  <conditionalFormatting sqref="O22:O42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Q7 F83:F86 H83:H86 H31:H70 F31:F70">
    <cfRule type="expression" dxfId="1366" priority="29">
      <formula>F7&gt;0</formula>
    </cfRule>
    <cfRule type="expression" dxfId="1365" priority="30">
      <formula>F7&lt;0</formula>
    </cfRule>
  </conditionalFormatting>
  <conditionalFormatting sqref="Q8">
    <cfRule type="expression" dxfId="1364" priority="27">
      <formula>Q8&gt;0</formula>
    </cfRule>
    <cfRule type="expression" dxfId="1363" priority="28">
      <formula>Q8&lt;0</formula>
    </cfRule>
  </conditionalFormatting>
  <conditionalFormatting sqref="F111:F132">
    <cfRule type="expression" dxfId="1362" priority="21">
      <formula>F111&gt;0</formula>
    </cfRule>
    <cfRule type="expression" dxfId="1361" priority="22">
      <formula>F111&lt;0</formula>
    </cfRule>
  </conditionalFormatting>
  <conditionalFormatting sqref="H111:H132">
    <cfRule type="expression" dxfId="1360" priority="19">
      <formula>H111&gt;0</formula>
    </cfRule>
    <cfRule type="expression" dxfId="1359" priority="20">
      <formula>H111&lt;0</formula>
    </cfRule>
  </conditionalFormatting>
  <conditionalFormatting sqref="Q10">
    <cfRule type="expression" dxfId="1358" priority="17">
      <formula>Q10&gt;0</formula>
    </cfRule>
    <cfRule type="expression" dxfId="1357" priority="18">
      <formula>Q10&lt;0</formula>
    </cfRule>
  </conditionalFormatting>
  <conditionalFormatting sqref="J31:J44">
    <cfRule type="expression" dxfId="1356" priority="15">
      <formula>J31&gt;0</formula>
    </cfRule>
    <cfRule type="expression" dxfId="1355" priority="16">
      <formula>J31&lt;0</formula>
    </cfRule>
  </conditionalFormatting>
  <conditionalFormatting sqref="K31:K44">
    <cfRule type="expression" dxfId="1354" priority="13">
      <formula>K31&gt;0</formula>
    </cfRule>
    <cfRule type="expression" dxfId="1353" priority="14">
      <formula>K31&lt;0</formula>
    </cfRule>
  </conditionalFormatting>
  <conditionalFormatting sqref="L31:L35 L37:L44">
    <cfRule type="expression" dxfId="1352" priority="11">
      <formula>L31&gt;0</formula>
    </cfRule>
    <cfRule type="expression" dxfId="1351" priority="12">
      <formula>L31&lt;0</formula>
    </cfRule>
  </conditionalFormatting>
  <conditionalFormatting sqref="M31:M44">
    <cfRule type="expression" dxfId="1350" priority="9">
      <formula>M31&gt;0</formula>
    </cfRule>
    <cfRule type="expression" dxfId="1349" priority="10">
      <formula>M31&lt;0</formula>
    </cfRule>
  </conditionalFormatting>
  <conditionalFormatting sqref="F79:F82 H79:H82">
    <cfRule type="expression" dxfId="1348" priority="5">
      <formula>F79&gt;0</formula>
    </cfRule>
    <cfRule type="expression" dxfId="1347" priority="6">
      <formula>F79&lt;0</formula>
    </cfRule>
  </conditionalFormatting>
  <conditionalFormatting sqref="F75:F78 H75:H78">
    <cfRule type="expression" dxfId="1346" priority="3">
      <formula>F75&gt;0</formula>
    </cfRule>
    <cfRule type="expression" dxfId="1345" priority="4">
      <formula>F75&lt;0</formula>
    </cfRule>
  </conditionalFormatting>
  <conditionalFormatting sqref="F71:F74 H71:H74">
    <cfRule type="expression" dxfId="1344" priority="1">
      <formula>F71&gt;0</formula>
    </cfRule>
    <cfRule type="expression" dxfId="1343" priority="2">
      <formula>F71&lt;0</formula>
    </cfRule>
  </conditionalFormatting>
  <hyperlinks>
    <hyperlink ref="A3" location="ACTIVE!A1" display="Back"/>
    <hyperlink ref="A91" location="ACTIVE!A1" display="Back"/>
  </hyperlinks>
  <pageMargins left="0.7" right="0.7" top="0.75" bottom="0.75" header="0.3" footer="0.3"/>
  <pageSetup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726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692.68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692.68</v>
      </c>
      <c r="R4" s="495">
        <v>3.0000000000000001E-3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206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662</v>
      </c>
      <c r="L24" s="220" t="s">
        <v>668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222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222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7" t="s">
        <v>78</v>
      </c>
      <c r="P40" s="85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761.94799999999998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755.02120000000002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748.09439999999995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741.16759999999999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734.24080000000004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727.31399999999996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720.38720000000001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713.46039999999994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706.53359999999998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699.60679999999991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692.68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685.75319999999999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678.82639999999992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671.89959999999996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664.97279999999989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658.04599999999994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651.11919999999986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644.19240000000002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637.26559999999995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630.33879999999999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623.41199999999992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726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42" priority="21">
      <formula>F47&gt;0</formula>
    </cfRule>
    <cfRule type="expression" dxfId="1341" priority="22">
      <formula>F47&lt;0</formula>
    </cfRule>
  </conditionalFormatting>
  <conditionalFormatting sqref="Q7">
    <cfRule type="expression" dxfId="1340" priority="19">
      <formula>Q7&gt;0</formula>
    </cfRule>
    <cfRule type="expression" dxfId="1339" priority="20">
      <formula>Q7&lt;0</formula>
    </cfRule>
  </conditionalFormatting>
  <conditionalFormatting sqref="Q8">
    <cfRule type="expression" dxfId="1338" priority="17">
      <formula>Q8&gt;0</formula>
    </cfRule>
    <cfRule type="expression" dxfId="1337" priority="18">
      <formula>Q8&lt;0</formula>
    </cfRule>
  </conditionalFormatting>
  <conditionalFormatting sqref="F25:F46">
    <cfRule type="expression" dxfId="1336" priority="15">
      <formula>F25&gt;0</formula>
    </cfRule>
    <cfRule type="expression" dxfId="1335" priority="16">
      <formula>F25&lt;0</formula>
    </cfRule>
  </conditionalFormatting>
  <conditionalFormatting sqref="H25:H46">
    <cfRule type="expression" dxfId="1334" priority="13">
      <formula>H25&gt;0</formula>
    </cfRule>
    <cfRule type="expression" dxfId="1333" priority="14">
      <formula>H25&lt;0</formula>
    </cfRule>
  </conditionalFormatting>
  <conditionalFormatting sqref="F89:F110">
    <cfRule type="expression" dxfId="1332" priority="11">
      <formula>F89&gt;0</formula>
    </cfRule>
    <cfRule type="expression" dxfId="1331" priority="12">
      <formula>F89&lt;0</formula>
    </cfRule>
  </conditionalFormatting>
  <conditionalFormatting sqref="H89:H110">
    <cfRule type="expression" dxfId="1330" priority="9">
      <formula>H89&gt;0</formula>
    </cfRule>
    <cfRule type="expression" dxfId="1329" priority="10">
      <formula>H89&lt;0</formula>
    </cfRule>
  </conditionalFormatting>
  <conditionalFormatting sqref="Q10">
    <cfRule type="expression" dxfId="1328" priority="7">
      <formula>Q10&gt;0</formula>
    </cfRule>
    <cfRule type="expression" dxfId="1327" priority="8">
      <formula>Q10&lt;0</formula>
    </cfRule>
  </conditionalFormatting>
  <conditionalFormatting sqref="J25:J38">
    <cfRule type="expression" dxfId="1326" priority="5">
      <formula>J25&gt;0</formula>
    </cfRule>
    <cfRule type="expression" dxfId="1325" priority="6">
      <formula>J25&lt;0</formula>
    </cfRule>
  </conditionalFormatting>
  <conditionalFormatting sqref="K25:K38">
    <cfRule type="expression" dxfId="1324" priority="3">
      <formula>K25&gt;0</formula>
    </cfRule>
    <cfRule type="expression" dxfId="1323" priority="4">
      <formula>K25&lt;0</formula>
    </cfRule>
  </conditionalFormatting>
  <conditionalFormatting sqref="L25:L38">
    <cfRule type="expression" dxfId="1322" priority="1">
      <formula>L25&gt;0</formula>
    </cfRule>
    <cfRule type="expression" dxfId="132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434">
        <v>43161</v>
      </c>
      <c r="C2" s="7">
        <v>50</v>
      </c>
      <c r="D2" s="43">
        <v>38.78</v>
      </c>
      <c r="E2" s="43">
        <v>0</v>
      </c>
      <c r="F2" s="43">
        <f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>H2*I2-J2</f>
        <v>2218.9499999999998</v>
      </c>
      <c r="L2" s="72">
        <v>43225</v>
      </c>
      <c r="M2" s="43">
        <v>69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>C3*D3+E3</f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>H3*I3-J3</f>
        <v>4487.9399999999996</v>
      </c>
      <c r="L3" s="4"/>
      <c r="M3" s="4"/>
      <c r="O3" s="11" t="s">
        <v>58</v>
      </c>
      <c r="Q3" s="221">
        <f>IF(Q2=0, Q4, (F18-K18-M18)/Q2)</f>
        <v>13.543400000000037</v>
      </c>
      <c r="T3" s="1">
        <v>43161</v>
      </c>
      <c r="U3" t="s">
        <v>981</v>
      </c>
    </row>
    <row r="4" spans="1:21" x14ac:dyDescent="0.25">
      <c r="B4" s="434">
        <v>43221</v>
      </c>
      <c r="C4" s="7">
        <v>50</v>
      </c>
      <c r="D4" s="43">
        <v>42</v>
      </c>
      <c r="E4" s="43">
        <v>0</v>
      </c>
      <c r="F4" s="43">
        <f>C4*D4+E4</f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>H4*I4-J4</f>
        <v>2328.9699999999998</v>
      </c>
      <c r="L4" s="4"/>
      <c r="M4" s="4"/>
      <c r="O4" s="11" t="s">
        <v>66</v>
      </c>
      <c r="Q4" s="54">
        <v>47.35</v>
      </c>
      <c r="R4" s="495">
        <v>-2.5700000000000001E-2</v>
      </c>
      <c r="T4" s="770"/>
      <c r="U4" s="30" t="s">
        <v>982</v>
      </c>
    </row>
    <row r="5" spans="1:21" x14ac:dyDescent="0.25">
      <c r="B5" s="474">
        <v>43304</v>
      </c>
      <c r="C5" s="4">
        <v>50</v>
      </c>
      <c r="D5" s="3">
        <v>51.6</v>
      </c>
      <c r="E5" s="3">
        <v>0</v>
      </c>
      <c r="F5" s="3">
        <f>C5*D5+E5</f>
        <v>2580</v>
      </c>
      <c r="G5" s="434">
        <v>43287</v>
      </c>
      <c r="H5" s="80">
        <v>50</v>
      </c>
      <c r="I5" s="43">
        <v>53.08</v>
      </c>
      <c r="J5" s="43">
        <v>0.03</v>
      </c>
      <c r="K5" s="43">
        <f>H5*I5-J5</f>
        <v>2653.97</v>
      </c>
      <c r="L5" s="4"/>
      <c r="M5" s="4"/>
      <c r="O5" s="11" t="s">
        <v>67</v>
      </c>
      <c r="Q5" s="3">
        <f>Q4*Q2</f>
        <v>2367.5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677.17000000000189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1690.3299999999981</v>
      </c>
      <c r="R7" s="29">
        <v>43335</v>
      </c>
      <c r="T7" s="1">
        <v>43244</v>
      </c>
      <c r="U7" t="s">
        <v>1090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1690.3299999999981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2.4961678751273584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2.9144667370644136E-2</v>
      </c>
      <c r="R11">
        <f>0.345</f>
        <v>0.34499999999999997</v>
      </c>
    </row>
    <row r="12" spans="1:21" x14ac:dyDescent="0.25">
      <c r="H12" s="70"/>
      <c r="O12" s="11" t="s">
        <v>938</v>
      </c>
      <c r="Q12" s="1"/>
    </row>
    <row r="13" spans="1:21" x14ac:dyDescent="0.25">
      <c r="H13" s="70"/>
      <c r="O13" s="11" t="s">
        <v>965</v>
      </c>
      <c r="Q13">
        <f>Q4/4.4</f>
        <v>10.761363636363637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57" t="s">
        <v>78</v>
      </c>
      <c r="P16" s="857"/>
    </row>
    <row r="17" spans="1:16" ht="15.75" thickTop="1" x14ac:dyDescent="0.25">
      <c r="O17" s="81">
        <v>1.1000000000000001</v>
      </c>
      <c r="P17" s="81">
        <f>O17*$Q$4</f>
        <v>52.085000000000008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12436</v>
      </c>
      <c r="G18" s="14"/>
      <c r="H18" s="71">
        <f>SUM(H2:H5)</f>
        <v>250</v>
      </c>
      <c r="I18" s="18"/>
      <c r="J18" s="18"/>
      <c r="K18" s="18">
        <f>SUM(K2:K5)</f>
        <v>11689.829999999998</v>
      </c>
      <c r="L18" s="14"/>
      <c r="M18" s="18">
        <f>SUM(M2:M10)</f>
        <v>69</v>
      </c>
      <c r="O18" s="81">
        <v>1.0900000000000001</v>
      </c>
      <c r="P18" s="81">
        <f t="shared" ref="P18:P37" si="0">O18*$Q$4</f>
        <v>51.611500000000007</v>
      </c>
    </row>
    <row r="19" spans="1:16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9856</v>
      </c>
      <c r="G19" s="343"/>
      <c r="H19" s="343">
        <f>SumByColor($A$19,H2:H17)</f>
        <v>250</v>
      </c>
      <c r="I19" s="343"/>
      <c r="J19" s="343"/>
      <c r="K19" s="344">
        <f>SumByColor($A$19,K2:K17)</f>
        <v>11690</v>
      </c>
      <c r="L19" s="343"/>
      <c r="M19" s="344">
        <f>SumByColor($A$19,M2:M17)</f>
        <v>69</v>
      </c>
      <c r="O19" s="81">
        <v>1.08</v>
      </c>
      <c r="P19" s="81">
        <f t="shared" si="0"/>
        <v>51.138000000000005</v>
      </c>
    </row>
    <row r="20" spans="1:16" x14ac:dyDescent="0.25">
      <c r="O20" s="81">
        <v>1.07</v>
      </c>
      <c r="P20" s="81">
        <f t="shared" si="0"/>
        <v>50.664500000000004</v>
      </c>
    </row>
    <row r="21" spans="1:16" x14ac:dyDescent="0.25">
      <c r="O21" s="81">
        <v>1.06</v>
      </c>
      <c r="P21" s="81">
        <f t="shared" si="0"/>
        <v>50.191000000000003</v>
      </c>
    </row>
    <row r="22" spans="1:16" x14ac:dyDescent="0.25">
      <c r="O22" s="81">
        <v>1.05</v>
      </c>
      <c r="P22" s="81">
        <f t="shared" si="0"/>
        <v>49.717500000000001</v>
      </c>
    </row>
    <row r="23" spans="1:16" x14ac:dyDescent="0.25">
      <c r="O23" s="81">
        <v>1.04</v>
      </c>
      <c r="P23" s="81">
        <f t="shared" si="0"/>
        <v>49.244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965</v>
      </c>
      <c r="O24" s="81">
        <v>1.03</v>
      </c>
      <c r="P24" s="81">
        <f t="shared" si="0"/>
        <v>48.770500000000006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222">
        <f>(E25-D25)/D25</f>
        <v>8.5611139762764313E-2</v>
      </c>
      <c r="I25" s="39"/>
      <c r="J25" s="39"/>
      <c r="K25" s="39"/>
      <c r="L25" s="39"/>
      <c r="O25" s="81">
        <v>1.02</v>
      </c>
      <c r="P25" s="81">
        <f t="shared" si="0"/>
        <v>48.297000000000004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222">
        <f>(E26-D26)/D26</f>
        <v>0.13099535843218149</v>
      </c>
      <c r="I26" s="39"/>
      <c r="J26" s="39"/>
      <c r="K26" s="39"/>
      <c r="L26" s="39"/>
      <c r="O26" s="81">
        <v>1.01</v>
      </c>
      <c r="P26" s="81">
        <f t="shared" si="0"/>
        <v>47.823500000000003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222">
        <f>(E27-D27)/D27</f>
        <v>0.12790097988653948</v>
      </c>
      <c r="I27" s="39"/>
      <c r="J27" s="39"/>
      <c r="K27" s="39"/>
      <c r="L27" s="39"/>
      <c r="O27" s="81">
        <v>1</v>
      </c>
      <c r="P27" s="81">
        <f t="shared" si="0"/>
        <v>47.35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222">
        <f>(E28-D28)/D28</f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0"/>
        <v>46.8765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222">
        <f>(E29-D29)/D29</f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0"/>
        <v>46.402999999999999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1">C30*(E30-D30)</f>
        <v>1119.9450000000006</v>
      </c>
      <c r="G30" s="39">
        <f t="shared" ref="G30:G35" si="2">D30*C30</f>
        <v>5537.0549999999994</v>
      </c>
      <c r="H30" s="222">
        <f t="shared" ref="H30:H35" si="3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0"/>
        <v>45.929499999999997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1"/>
        <v>884.94000000000028</v>
      </c>
      <c r="G31" s="39">
        <f t="shared" si="2"/>
        <v>7637.0599999999995</v>
      </c>
      <c r="H31" s="222">
        <f t="shared" si="3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0"/>
        <v>45.456000000000003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1"/>
        <v>765.94000000000051</v>
      </c>
      <c r="G32" s="39">
        <f t="shared" si="2"/>
        <v>7568.0599999999995</v>
      </c>
      <c r="H32" s="222">
        <f t="shared" si="3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0"/>
        <v>44.982500000000002</v>
      </c>
    </row>
    <row r="33" spans="1:17" x14ac:dyDescent="0.25">
      <c r="A33">
        <v>50</v>
      </c>
      <c r="B33" s="184">
        <v>43243</v>
      </c>
      <c r="C33" s="10">
        <v>100</v>
      </c>
      <c r="D33" s="39">
        <v>30.800999999999998</v>
      </c>
      <c r="E33" s="39">
        <v>45.03</v>
      </c>
      <c r="F33" s="39">
        <f t="shared" si="1"/>
        <v>1422.9000000000003</v>
      </c>
      <c r="G33" s="39">
        <f t="shared" si="2"/>
        <v>3080.1</v>
      </c>
      <c r="H33" s="222">
        <f t="shared" si="3"/>
        <v>0.46196552059998064</v>
      </c>
      <c r="I33" s="39"/>
      <c r="J33" s="39"/>
      <c r="K33" s="39"/>
      <c r="L33" s="39">
        <v>10.23</v>
      </c>
      <c r="O33" s="81">
        <v>0.94</v>
      </c>
      <c r="P33" s="81">
        <f t="shared" si="0"/>
        <v>44.509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1"/>
        <v>1568.3600000000001</v>
      </c>
      <c r="G34" s="39">
        <f t="shared" si="2"/>
        <v>751.14</v>
      </c>
      <c r="H34" s="222">
        <f t="shared" si="3"/>
        <v>2.087972947786032</v>
      </c>
      <c r="I34" s="39"/>
      <c r="J34" s="39"/>
      <c r="K34" s="39"/>
      <c r="L34" s="39">
        <v>10.54</v>
      </c>
      <c r="O34" s="81">
        <v>0.93</v>
      </c>
      <c r="P34" s="81">
        <f t="shared" si="0"/>
        <v>44.035500000000006</v>
      </c>
    </row>
    <row r="35" spans="1:17" x14ac:dyDescent="0.25">
      <c r="B35" s="184">
        <v>43283</v>
      </c>
      <c r="C35" s="10">
        <v>50</v>
      </c>
      <c r="D35" s="39">
        <v>15.0228</v>
      </c>
      <c r="E35" s="39">
        <v>52.04</v>
      </c>
      <c r="F35" s="39">
        <f t="shared" si="1"/>
        <v>1850.8600000000001</v>
      </c>
      <c r="G35" s="39">
        <f t="shared" si="2"/>
        <v>751.14</v>
      </c>
      <c r="H35" s="222">
        <f t="shared" si="3"/>
        <v>2.4640679500492588</v>
      </c>
      <c r="I35" s="39"/>
      <c r="J35" s="39"/>
      <c r="K35" s="39"/>
      <c r="L35" s="39">
        <v>11.83</v>
      </c>
      <c r="O35" s="81">
        <v>0.92</v>
      </c>
      <c r="P35" s="81">
        <f t="shared" si="0"/>
        <v>43.562000000000005</v>
      </c>
    </row>
    <row r="36" spans="1:17" x14ac:dyDescent="0.25">
      <c r="B36" s="184">
        <v>43287</v>
      </c>
      <c r="C36" s="10"/>
      <c r="D36" s="39"/>
      <c r="E36" s="39"/>
      <c r="F36" s="39">
        <v>1902.83</v>
      </c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43.088500000000003</v>
      </c>
    </row>
    <row r="37" spans="1:17" x14ac:dyDescent="0.25">
      <c r="A37">
        <v>0</v>
      </c>
      <c r="B37" s="184">
        <v>43304</v>
      </c>
      <c r="C37" s="10">
        <v>50</v>
      </c>
      <c r="D37" s="39">
        <v>13.5434</v>
      </c>
      <c r="E37" s="39">
        <v>51.6</v>
      </c>
      <c r="F37" s="39">
        <f t="shared" ref="F37" si="4">C37*(E37-D37)</f>
        <v>1902.8300000000002</v>
      </c>
      <c r="G37" s="39">
        <f t="shared" ref="G37" si="5">D37*C37</f>
        <v>677.17</v>
      </c>
      <c r="H37" s="222">
        <f t="shared" ref="H37" si="6">(E37-D37)/D37</f>
        <v>2.8099738618072272</v>
      </c>
      <c r="I37" s="39"/>
      <c r="J37" s="39"/>
      <c r="K37" s="39"/>
      <c r="L37" s="39">
        <v>12.05</v>
      </c>
      <c r="O37" s="81">
        <v>0.9</v>
      </c>
      <c r="P37" s="81">
        <f t="shared" si="0"/>
        <v>42.615000000000002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662</v>
      </c>
      <c r="L88" s="220" t="s">
        <v>668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20" priority="39">
      <formula>F47&gt;0</formula>
    </cfRule>
    <cfRule type="expression" dxfId="1319" priority="40">
      <formula>F47&lt;0</formula>
    </cfRule>
  </conditionalFormatting>
  <conditionalFormatting sqref="Q7">
    <cfRule type="expression" dxfId="1318" priority="37">
      <formula>Q7&gt;0</formula>
    </cfRule>
    <cfRule type="expression" dxfId="1317" priority="38">
      <formula>Q7&lt;0</formula>
    </cfRule>
  </conditionalFormatting>
  <conditionalFormatting sqref="Q8">
    <cfRule type="expression" dxfId="1316" priority="35">
      <formula>Q8&gt;0</formula>
    </cfRule>
    <cfRule type="expression" dxfId="1315" priority="36">
      <formula>Q8&lt;0</formula>
    </cfRule>
  </conditionalFormatting>
  <conditionalFormatting sqref="F33:F36 F38:F46">
    <cfRule type="expression" dxfId="1314" priority="33">
      <formula>F33&gt;0</formula>
    </cfRule>
    <cfRule type="expression" dxfId="1313" priority="34">
      <formula>F33&lt;0</formula>
    </cfRule>
  </conditionalFormatting>
  <conditionalFormatting sqref="H33:H36 H38:H46">
    <cfRule type="expression" dxfId="1312" priority="31">
      <formula>H33&gt;0</formula>
    </cfRule>
    <cfRule type="expression" dxfId="1311" priority="32">
      <formula>H33&lt;0</formula>
    </cfRule>
  </conditionalFormatting>
  <conditionalFormatting sqref="Q10">
    <cfRule type="expression" dxfId="1310" priority="29">
      <formula>Q10&gt;0</formula>
    </cfRule>
    <cfRule type="expression" dxfId="1309" priority="30">
      <formula>Q10&lt;0</formula>
    </cfRule>
  </conditionalFormatting>
  <conditionalFormatting sqref="J25:J38">
    <cfRule type="expression" dxfId="1308" priority="27">
      <formula>J25&gt;0</formula>
    </cfRule>
    <cfRule type="expression" dxfId="1307" priority="28">
      <formula>J25&lt;0</formula>
    </cfRule>
  </conditionalFormatting>
  <conditionalFormatting sqref="K25:K38">
    <cfRule type="expression" dxfId="1306" priority="25">
      <formula>K25&gt;0</formula>
    </cfRule>
    <cfRule type="expression" dxfId="1305" priority="26">
      <formula>K25&lt;0</formula>
    </cfRule>
  </conditionalFormatting>
  <conditionalFormatting sqref="L25">
    <cfRule type="expression" dxfId="1304" priority="23">
      <formula>L25&gt;0</formula>
    </cfRule>
    <cfRule type="expression" dxfId="1303" priority="24">
      <formula>L25&lt;0</formula>
    </cfRule>
  </conditionalFormatting>
  <conditionalFormatting sqref="F89:F110">
    <cfRule type="expression" dxfId="1302" priority="21">
      <formula>F89&gt;0</formula>
    </cfRule>
    <cfRule type="expression" dxfId="1301" priority="22">
      <formula>F89&lt;0</formula>
    </cfRule>
  </conditionalFormatting>
  <conditionalFormatting sqref="H89:H110">
    <cfRule type="expression" dxfId="1300" priority="19">
      <formula>H89&gt;0</formula>
    </cfRule>
    <cfRule type="expression" dxfId="1299" priority="20">
      <formula>H89&lt;0</formula>
    </cfRule>
  </conditionalFormatting>
  <conditionalFormatting sqref="J89:J102">
    <cfRule type="expression" dxfId="1298" priority="17">
      <formula>J89&gt;0</formula>
    </cfRule>
    <cfRule type="expression" dxfId="1297" priority="18">
      <formula>J89&lt;0</formula>
    </cfRule>
  </conditionalFormatting>
  <conditionalFormatting sqref="K89:K102">
    <cfRule type="expression" dxfId="1296" priority="15">
      <formula>K89&gt;0</formula>
    </cfRule>
    <cfRule type="expression" dxfId="1295" priority="16">
      <formula>K89&lt;0</formula>
    </cfRule>
  </conditionalFormatting>
  <conditionalFormatting sqref="L89:L102">
    <cfRule type="expression" dxfId="1294" priority="13">
      <formula>L89&gt;0</formula>
    </cfRule>
    <cfRule type="expression" dxfId="1293" priority="14">
      <formula>L89&lt;0</formula>
    </cfRule>
  </conditionalFormatting>
  <conditionalFormatting sqref="F29:F32">
    <cfRule type="expression" dxfId="1292" priority="11">
      <formula>F29&gt;0</formula>
    </cfRule>
    <cfRule type="expression" dxfId="1291" priority="12">
      <formula>F29&lt;0</formula>
    </cfRule>
  </conditionalFormatting>
  <conditionalFormatting sqref="H29:H32">
    <cfRule type="expression" dxfId="1290" priority="9">
      <formula>H29&gt;0</formula>
    </cfRule>
    <cfRule type="expression" dxfId="1289" priority="10">
      <formula>H29&lt;0</formula>
    </cfRule>
  </conditionalFormatting>
  <conditionalFormatting sqref="F25:F28">
    <cfRule type="expression" dxfId="1288" priority="7">
      <formula>F25&gt;0</formula>
    </cfRule>
    <cfRule type="expression" dxfId="1287" priority="8">
      <formula>F25&lt;0</formula>
    </cfRule>
  </conditionalFormatting>
  <conditionalFormatting sqref="H25:H28">
    <cfRule type="expression" dxfId="1286" priority="5">
      <formula>H25&gt;0</formula>
    </cfRule>
    <cfRule type="expression" dxfId="1285" priority="6">
      <formula>H25&lt;0</formula>
    </cfRule>
  </conditionalFormatting>
  <conditionalFormatting sqref="F37">
    <cfRule type="expression" dxfId="1284" priority="3">
      <formula>F37&gt;0</formula>
    </cfRule>
    <cfRule type="expression" dxfId="1283" priority="4">
      <formula>F37&lt;0</formula>
    </cfRule>
  </conditionalFormatting>
  <conditionalFormatting sqref="H37">
    <cfRule type="expression" dxfId="1282" priority="1">
      <formula>H37&gt;0</formula>
    </cfRule>
    <cfRule type="expression" dxfId="1281" priority="2">
      <formula>H37&lt;0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936</v>
      </c>
      <c r="B2" s="434">
        <v>43161</v>
      </c>
      <c r="C2" s="7">
        <v>20</v>
      </c>
      <c r="D2" s="43">
        <v>198</v>
      </c>
      <c r="E2" s="43">
        <v>0</v>
      </c>
      <c r="F2" s="43">
        <f>C2*D2+E2</f>
        <v>3960</v>
      </c>
      <c r="G2" s="434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226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226</v>
      </c>
      <c r="R4" s="495">
        <v>-6.1999999999999998E-3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137.51000000000022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137.51000000000022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7.7876106194690268E-3</v>
      </c>
      <c r="R11">
        <v>1.76</v>
      </c>
    </row>
    <row r="12" spans="1:21" x14ac:dyDescent="0.25">
      <c r="H12" s="70"/>
      <c r="O12" s="11" t="s">
        <v>987</v>
      </c>
      <c r="Q12" s="29"/>
    </row>
    <row r="13" spans="1:21" x14ac:dyDescent="0.25">
      <c r="H13" s="70"/>
      <c r="O13" s="11" t="s">
        <v>965</v>
      </c>
      <c r="Q13">
        <f>Q4/8.62</f>
        <v>26.218097447795827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662</v>
      </c>
      <c r="L24" s="220" t="s">
        <v>668</v>
      </c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7" t="s">
        <v>78</v>
      </c>
      <c r="P40" s="857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248.60000000000002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246.34000000000003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244.08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241.82000000000002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239.56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237.3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235.04000000000002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232.78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230.52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228.26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226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223.74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221.48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219.22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216.95999999999998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214.7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212.44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210.18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207.92000000000002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205.66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203.4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662</v>
      </c>
      <c r="L88" s="220" t="s">
        <v>668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80" priority="31">
      <formula>F47&gt;0</formula>
    </cfRule>
    <cfRule type="expression" dxfId="1279" priority="32">
      <formula>F47&lt;0</formula>
    </cfRule>
  </conditionalFormatting>
  <conditionalFormatting sqref="Q7">
    <cfRule type="expression" dxfId="1278" priority="29">
      <formula>Q7&gt;0</formula>
    </cfRule>
    <cfRule type="expression" dxfId="1277" priority="30">
      <formula>Q7&lt;0</formula>
    </cfRule>
  </conditionalFormatting>
  <conditionalFormatting sqref="Q8">
    <cfRule type="expression" dxfId="1276" priority="27">
      <formula>Q8&gt;0</formula>
    </cfRule>
    <cfRule type="expression" dxfId="1275" priority="28">
      <formula>Q8&lt;0</formula>
    </cfRule>
  </conditionalFormatting>
  <conditionalFormatting sqref="F30:F46">
    <cfRule type="expression" dxfId="1274" priority="25">
      <formula>F30&gt;0</formula>
    </cfRule>
    <cfRule type="expression" dxfId="1273" priority="26">
      <formula>F30&lt;0</formula>
    </cfRule>
  </conditionalFormatting>
  <conditionalFormatting sqref="H30:H46">
    <cfRule type="expression" dxfId="1272" priority="23">
      <formula>H30&gt;0</formula>
    </cfRule>
    <cfRule type="expression" dxfId="1271" priority="24">
      <formula>H30&lt;0</formula>
    </cfRule>
  </conditionalFormatting>
  <conditionalFormatting sqref="Q10">
    <cfRule type="expression" dxfId="1270" priority="21">
      <formula>Q10&gt;0</formula>
    </cfRule>
    <cfRule type="expression" dxfId="1269" priority="22">
      <formula>Q10&lt;0</formula>
    </cfRule>
  </conditionalFormatting>
  <conditionalFormatting sqref="J25:J38">
    <cfRule type="expression" dxfId="1268" priority="19">
      <formula>J25&gt;0</formula>
    </cfRule>
    <cfRule type="expression" dxfId="1267" priority="20">
      <formula>J25&lt;0</formula>
    </cfRule>
  </conditionalFormatting>
  <conditionalFormatting sqref="K25:K38">
    <cfRule type="expression" dxfId="1266" priority="17">
      <formula>K25&gt;0</formula>
    </cfRule>
    <cfRule type="expression" dxfId="1265" priority="18">
      <formula>K25&lt;0</formula>
    </cfRule>
  </conditionalFormatting>
  <conditionalFormatting sqref="L25:L38">
    <cfRule type="expression" dxfId="1264" priority="15">
      <formula>L25&gt;0</formula>
    </cfRule>
    <cfRule type="expression" dxfId="1263" priority="16">
      <formula>L25&lt;0</formula>
    </cfRule>
  </conditionalFormatting>
  <conditionalFormatting sqref="F89:F110">
    <cfRule type="expression" dxfId="1262" priority="13">
      <formula>F89&gt;0</formula>
    </cfRule>
    <cfRule type="expression" dxfId="1261" priority="14">
      <formula>F89&lt;0</formula>
    </cfRule>
  </conditionalFormatting>
  <conditionalFormatting sqref="H89:H110">
    <cfRule type="expression" dxfId="1260" priority="11">
      <formula>H89&gt;0</formula>
    </cfRule>
    <cfRule type="expression" dxfId="1259" priority="12">
      <formula>H89&lt;0</formula>
    </cfRule>
  </conditionalFormatting>
  <conditionalFormatting sqref="J89:J102">
    <cfRule type="expression" dxfId="1258" priority="9">
      <formula>J89&gt;0</formula>
    </cfRule>
    <cfRule type="expression" dxfId="1257" priority="10">
      <formula>J89&lt;0</formula>
    </cfRule>
  </conditionalFormatting>
  <conditionalFormatting sqref="K89:K102">
    <cfRule type="expression" dxfId="1256" priority="7">
      <formula>K89&gt;0</formula>
    </cfRule>
    <cfRule type="expression" dxfId="1255" priority="8">
      <formula>K89&lt;0</formula>
    </cfRule>
  </conditionalFormatting>
  <conditionalFormatting sqref="L89:L102">
    <cfRule type="expression" dxfId="1254" priority="5">
      <formula>L89&gt;0</formula>
    </cfRule>
    <cfRule type="expression" dxfId="1253" priority="6">
      <formula>L89&lt;0</formula>
    </cfRule>
  </conditionalFormatting>
  <conditionalFormatting sqref="F25:F29">
    <cfRule type="expression" dxfId="1252" priority="3">
      <formula>F25&gt;0</formula>
    </cfRule>
    <cfRule type="expression" dxfId="1251" priority="4">
      <formula>F25&lt;0</formula>
    </cfRule>
  </conditionalFormatting>
  <conditionalFormatting sqref="H25:H29">
    <cfRule type="expression" dxfId="1250" priority="1">
      <formula>H25&gt;0</formula>
    </cfRule>
    <cfRule type="expression" dxfId="124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" activePane="bottomLeft" state="frozen"/>
      <selection activeCell="A2" sqref="A2"/>
      <selection pane="bottomLeft" activeCell="C6" sqref="C6:F6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933</v>
      </c>
      <c r="B2" s="434">
        <v>43151</v>
      </c>
      <c r="C2" s="7">
        <v>50</v>
      </c>
      <c r="D2" s="43">
        <v>68.22</v>
      </c>
      <c r="E2" s="43">
        <v>0</v>
      </c>
      <c r="F2" s="43">
        <f>C2*D2+E2</f>
        <v>3411</v>
      </c>
      <c r="G2" s="571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434">
        <v>43181</v>
      </c>
      <c r="C3" s="7">
        <v>50</v>
      </c>
      <c r="D3" s="43">
        <v>61.1</v>
      </c>
      <c r="E3" s="43">
        <v>0</v>
      </c>
      <c r="F3" s="43">
        <f>C3*D3+E3</f>
        <v>3055</v>
      </c>
      <c r="G3" s="434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7">
        <v>62.5</v>
      </c>
      <c r="O3" s="11" t="s">
        <v>58</v>
      </c>
      <c r="Q3" s="221">
        <f>IF(Q2=0, Q4, (F18-K18-M18)/Q2)</f>
        <v>59.394100000000002</v>
      </c>
      <c r="T3" s="1">
        <v>43223</v>
      </c>
      <c r="U3" t="s">
        <v>1045</v>
      </c>
    </row>
    <row r="4" spans="1:21" x14ac:dyDescent="0.25">
      <c r="A4" t="s">
        <v>774</v>
      </c>
      <c r="B4" s="434">
        <v>43299</v>
      </c>
      <c r="C4" s="4">
        <v>100</v>
      </c>
      <c r="D4" s="3">
        <v>62.25</v>
      </c>
      <c r="E4" s="3">
        <v>0</v>
      </c>
      <c r="F4" s="3">
        <f>C4*D4+E4</f>
        <v>6225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60.26</v>
      </c>
      <c r="R4" s="495">
        <v>-3.5999999999999999E-3</v>
      </c>
      <c r="T4" s="770"/>
      <c r="U4" s="30"/>
    </row>
    <row r="5" spans="1:21" x14ac:dyDescent="0.25">
      <c r="B5" s="474">
        <v>43305</v>
      </c>
      <c r="C5" s="7">
        <v>100</v>
      </c>
      <c r="D5" s="43">
        <v>59.4</v>
      </c>
      <c r="E5" s="43">
        <v>0</v>
      </c>
      <c r="F5" s="43">
        <f>C5*D5+E5</f>
        <v>5940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6026</v>
      </c>
      <c r="T5" s="1">
        <v>43248</v>
      </c>
      <c r="U5" t="s">
        <v>1105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5939.41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86.590000000000146</v>
      </c>
      <c r="R7" s="29">
        <v>43336</v>
      </c>
      <c r="T7" s="1">
        <v>43300</v>
      </c>
      <c r="U7" t="s">
        <v>1218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86.590000000000146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1.4578889148922225E-2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4.1486890142714901E-2</v>
      </c>
      <c r="R11">
        <f>0.625</f>
        <v>0.625</v>
      </c>
    </row>
    <row r="12" spans="1:21" x14ac:dyDescent="0.25">
      <c r="H12" s="70"/>
      <c r="O12" s="11" t="s">
        <v>1002</v>
      </c>
      <c r="Q12" s="1"/>
    </row>
    <row r="13" spans="1:21" x14ac:dyDescent="0.25">
      <c r="H13" s="70"/>
      <c r="O13" s="11" t="s">
        <v>965</v>
      </c>
      <c r="Q13">
        <f>Q4/3.79</f>
        <v>15.899736147757256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18631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93.75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12406</v>
      </c>
      <c r="G19" s="343"/>
      <c r="H19" s="343">
        <f>SumByColor($A$19,H2:H17)</f>
        <v>200</v>
      </c>
      <c r="I19" s="343"/>
      <c r="J19" s="343"/>
      <c r="K19" s="344">
        <f>SumByColor($A$19,K2:K17)</f>
        <v>12598</v>
      </c>
      <c r="L19" s="343"/>
      <c r="M19" s="344">
        <f>SumByColor($A$19,M2:M17)</f>
        <v>94</v>
      </c>
    </row>
    <row r="21" spans="1:16" ht="20.25" thickBot="1" x14ac:dyDescent="0.35">
      <c r="O21" s="857" t="s">
        <v>78</v>
      </c>
      <c r="P21" s="857"/>
    </row>
    <row r="22" spans="1:16" ht="15.75" thickTop="1" x14ac:dyDescent="0.25">
      <c r="O22" s="81">
        <v>1.1000000000000001</v>
      </c>
      <c r="P22" s="81">
        <f>O22*$Q$4</f>
        <v>66.286000000000001</v>
      </c>
    </row>
    <row r="23" spans="1:16" x14ac:dyDescent="0.25">
      <c r="O23" s="81">
        <v>1.0900000000000001</v>
      </c>
      <c r="P23" s="81">
        <f t="shared" ref="P23:P42" si="0">O23*$Q$4</f>
        <v>65.683400000000006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662</v>
      </c>
      <c r="L24" s="220" t="s">
        <v>965</v>
      </c>
      <c r="O24" s="81">
        <v>1.08</v>
      </c>
      <c r="P24" s="81">
        <f t="shared" si="0"/>
        <v>65.080799999999996</v>
      </c>
    </row>
    <row r="25" spans="1:16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:F33" si="1">C25*(E25-D25)</f>
        <v>-10.999999999999943</v>
      </c>
      <c r="G25" s="39">
        <f t="shared" ref="G25:G33" si="2">D25*C25</f>
        <v>3411</v>
      </c>
      <c r="H25" s="222">
        <f t="shared" ref="H25:H33" si="3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0"/>
        <v>64.478200000000001</v>
      </c>
    </row>
    <row r="26" spans="1:16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si="1"/>
        <v>-355.99999999999955</v>
      </c>
      <c r="G26" s="39">
        <f t="shared" si="2"/>
        <v>6466</v>
      </c>
      <c r="H26" s="222">
        <f t="shared" si="3"/>
        <v>-5.5057222394061169E-2</v>
      </c>
      <c r="I26" s="39"/>
      <c r="J26" s="39"/>
      <c r="K26" s="39"/>
      <c r="L26" s="39"/>
      <c r="O26" s="81">
        <v>1.06</v>
      </c>
      <c r="P26" s="81">
        <f t="shared" si="0"/>
        <v>63.875599999999999</v>
      </c>
    </row>
    <row r="27" spans="1:16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si="1"/>
        <v>-431.74999999999955</v>
      </c>
      <c r="G27" s="39">
        <f t="shared" si="2"/>
        <v>6434.75</v>
      </c>
      <c r="H27" s="222">
        <f t="shared" si="3"/>
        <v>-6.7096623800458374E-2</v>
      </c>
      <c r="I27" s="39"/>
      <c r="J27" s="39"/>
      <c r="K27" s="39"/>
      <c r="L27" s="155"/>
      <c r="O27" s="81">
        <v>1.05</v>
      </c>
      <c r="P27" s="81">
        <f t="shared" si="0"/>
        <v>63.273000000000003</v>
      </c>
    </row>
    <row r="28" spans="1:16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si="1"/>
        <v>-269.74999999999977</v>
      </c>
      <c r="G28" s="39">
        <f t="shared" si="2"/>
        <v>6434.75</v>
      </c>
      <c r="H28" s="222">
        <f t="shared" si="3"/>
        <v>-4.192082054469868E-2</v>
      </c>
      <c r="I28" s="39"/>
      <c r="J28" s="39"/>
      <c r="K28" s="39"/>
      <c r="L28" s="155"/>
      <c r="O28" s="81">
        <v>1.04</v>
      </c>
      <c r="P28" s="81">
        <f t="shared" si="0"/>
        <v>62.670400000000001</v>
      </c>
    </row>
    <row r="29" spans="1:16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si="1"/>
        <v>-364.74999999999937</v>
      </c>
      <c r="G29" s="39">
        <f t="shared" si="2"/>
        <v>6434.75</v>
      </c>
      <c r="H29" s="222">
        <f t="shared" si="3"/>
        <v>-5.6684408873693526E-2</v>
      </c>
      <c r="I29" s="39"/>
      <c r="J29" s="39"/>
      <c r="K29" s="39"/>
      <c r="L29" s="155"/>
      <c r="O29" s="81">
        <v>1.03</v>
      </c>
      <c r="P29" s="81">
        <f t="shared" si="0"/>
        <v>62.067799999999998</v>
      </c>
    </row>
    <row r="30" spans="1:16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1"/>
        <v>-1014.7499999999993</v>
      </c>
      <c r="G30" s="39">
        <f t="shared" si="2"/>
        <v>6434.75</v>
      </c>
      <c r="H30" s="222">
        <f t="shared" si="3"/>
        <v>-0.15769843428260608</v>
      </c>
      <c r="I30" s="39"/>
      <c r="J30" s="39"/>
      <c r="K30" s="39"/>
      <c r="L30" s="155"/>
      <c r="O30" s="81">
        <v>1.02</v>
      </c>
      <c r="P30" s="81">
        <f t="shared" si="0"/>
        <v>61.465199999999996</v>
      </c>
    </row>
    <row r="31" spans="1:16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1"/>
        <v>-530.99999999999955</v>
      </c>
      <c r="G31" s="39">
        <f t="shared" si="2"/>
        <v>6434.9999999999991</v>
      </c>
      <c r="H31" s="222">
        <f t="shared" si="3"/>
        <v>-8.2517482517482449E-2</v>
      </c>
      <c r="I31" s="39"/>
      <c r="J31" s="39"/>
      <c r="K31" s="39"/>
      <c r="L31" s="155"/>
      <c r="O31" s="81">
        <v>1.01</v>
      </c>
      <c r="P31" s="81">
        <f t="shared" si="0"/>
        <v>60.8626</v>
      </c>
    </row>
    <row r="32" spans="1:16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1"/>
        <v>-789.74999999999932</v>
      </c>
      <c r="G32" s="39">
        <f t="shared" si="2"/>
        <v>6434.75</v>
      </c>
      <c r="H32" s="222">
        <f t="shared" si="3"/>
        <v>-0.12273204087182865</v>
      </c>
      <c r="I32" s="39"/>
      <c r="J32" s="39"/>
      <c r="K32" s="39"/>
      <c r="L32" s="155"/>
      <c r="O32" s="81">
        <v>1</v>
      </c>
      <c r="P32" s="81">
        <f t="shared" si="0"/>
        <v>60.26</v>
      </c>
    </row>
    <row r="33" spans="1:17" x14ac:dyDescent="0.25">
      <c r="A33">
        <v>100</v>
      </c>
      <c r="B33" s="184">
        <v>43266</v>
      </c>
      <c r="C33" s="228">
        <v>100</v>
      </c>
      <c r="D33" s="229">
        <v>63.722499999999997</v>
      </c>
      <c r="E33" s="39">
        <v>61.61</v>
      </c>
      <c r="F33" s="39">
        <f t="shared" si="1"/>
        <v>-211.24999999999972</v>
      </c>
      <c r="G33" s="39">
        <f t="shared" si="2"/>
        <v>6372.25</v>
      </c>
      <c r="H33" s="222">
        <f t="shared" si="3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0"/>
        <v>59.657399999999996</v>
      </c>
    </row>
    <row r="34" spans="1:17" x14ac:dyDescent="0.25">
      <c r="B34" s="184">
        <v>43287</v>
      </c>
      <c r="C34" s="10">
        <v>0</v>
      </c>
      <c r="D34" s="39"/>
      <c r="E34" s="39"/>
      <c r="F34" s="39">
        <v>77.67</v>
      </c>
      <c r="G34" s="39"/>
      <c r="H34" s="222"/>
      <c r="I34" s="39"/>
      <c r="J34" s="39"/>
      <c r="K34" s="39"/>
      <c r="L34" s="727"/>
      <c r="O34" s="81">
        <v>0.98</v>
      </c>
      <c r="P34" s="81">
        <f t="shared" si="0"/>
        <v>59.0548</v>
      </c>
    </row>
    <row r="35" spans="1:17" x14ac:dyDescent="0.25">
      <c r="A35">
        <v>0</v>
      </c>
      <c r="B35" s="184">
        <v>43299</v>
      </c>
      <c r="C35" s="228">
        <v>100</v>
      </c>
      <c r="D35" s="229">
        <v>61.473300000000002</v>
      </c>
      <c r="E35" s="39">
        <v>62.25</v>
      </c>
      <c r="F35" s="39">
        <v>77.67</v>
      </c>
      <c r="G35" s="39"/>
      <c r="H35" s="222"/>
      <c r="I35" s="39"/>
      <c r="J35" s="39"/>
      <c r="K35" s="39"/>
      <c r="L35" s="39">
        <v>16.420000000000002</v>
      </c>
      <c r="O35" s="81">
        <v>0.97</v>
      </c>
      <c r="P35" s="81">
        <f t="shared" si="0"/>
        <v>58.452199999999998</v>
      </c>
    </row>
    <row r="36" spans="1:17" x14ac:dyDescent="0.25">
      <c r="A36">
        <v>0</v>
      </c>
      <c r="B36" s="184">
        <v>43305</v>
      </c>
      <c r="C36" s="7">
        <v>200</v>
      </c>
      <c r="D36" s="43">
        <v>60.436700000000002</v>
      </c>
      <c r="E36" s="39">
        <v>59.4</v>
      </c>
      <c r="F36" s="39">
        <f t="shared" ref="F36" si="4">C36*(E36-D36)</f>
        <v>-207.34000000000066</v>
      </c>
      <c r="G36" s="39">
        <f t="shared" ref="G36" si="5">D36*C36</f>
        <v>12087.34</v>
      </c>
      <c r="H36" s="222">
        <f t="shared" ref="H36" si="6">(E36-D36)/D36</f>
        <v>-1.7153484554914535E-2</v>
      </c>
      <c r="I36" s="39"/>
      <c r="J36" s="39"/>
      <c r="K36" s="39"/>
      <c r="L36" s="39">
        <v>15.67</v>
      </c>
      <c r="O36" s="81">
        <v>0.96</v>
      </c>
      <c r="P36" s="81">
        <f t="shared" si="0"/>
        <v>57.849599999999995</v>
      </c>
    </row>
    <row r="37" spans="1:17" x14ac:dyDescent="0.25">
      <c r="A37">
        <v>0</v>
      </c>
      <c r="B37" s="184">
        <v>43307</v>
      </c>
      <c r="C37" s="228">
        <v>100</v>
      </c>
      <c r="D37" s="229">
        <v>59.394100000000002</v>
      </c>
      <c r="E37" s="39">
        <v>61.48</v>
      </c>
      <c r="F37" s="39">
        <f t="shared" ref="F37" si="7">C37*(E37-D37)</f>
        <v>208.58999999999952</v>
      </c>
      <c r="G37" s="39">
        <f t="shared" ref="G37" si="8">D37*C37</f>
        <v>5939.41</v>
      </c>
      <c r="H37" s="222">
        <f t="shared" ref="H37" si="9">(E37-D37)/D37</f>
        <v>3.5119649931558777E-2</v>
      </c>
      <c r="I37" s="39"/>
      <c r="J37" s="39"/>
      <c r="K37" s="39"/>
      <c r="L37" s="39">
        <v>15.79</v>
      </c>
      <c r="O37" s="81">
        <v>0.95</v>
      </c>
      <c r="P37" s="81">
        <f t="shared" si="0"/>
        <v>57.246999999999993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0.94</v>
      </c>
      <c r="P38" s="81">
        <f t="shared" si="0"/>
        <v>56.644399999999997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0.93</v>
      </c>
      <c r="P39" s="81">
        <f t="shared" si="0"/>
        <v>56.041800000000002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0.92</v>
      </c>
      <c r="P40" s="81">
        <f t="shared" si="0"/>
        <v>55.4392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0.91</v>
      </c>
      <c r="P41" s="81">
        <f t="shared" si="0"/>
        <v>54.836599999999997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</v>
      </c>
      <c r="P42" s="81">
        <f t="shared" si="0"/>
        <v>54.234000000000002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662</v>
      </c>
      <c r="L88" s="220" t="s">
        <v>668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48" priority="35">
      <formula>F47&gt;0</formula>
    </cfRule>
    <cfRule type="expression" dxfId="1247" priority="36">
      <formula>F47&lt;0</formula>
    </cfRule>
  </conditionalFormatting>
  <conditionalFormatting sqref="Q7">
    <cfRule type="expression" dxfId="1246" priority="33">
      <formula>Q7&gt;0</formula>
    </cfRule>
    <cfRule type="expression" dxfId="1245" priority="34">
      <formula>Q7&lt;0</formula>
    </cfRule>
  </conditionalFormatting>
  <conditionalFormatting sqref="Q8">
    <cfRule type="expression" dxfId="1244" priority="31">
      <formula>Q8&gt;0</formula>
    </cfRule>
    <cfRule type="expression" dxfId="1243" priority="32">
      <formula>Q8&lt;0</formula>
    </cfRule>
  </conditionalFormatting>
  <conditionalFormatting sqref="F30:F35 F38:F46">
    <cfRule type="expression" dxfId="1242" priority="29">
      <formula>F30&gt;0</formula>
    </cfRule>
    <cfRule type="expression" dxfId="1241" priority="30">
      <formula>F30&lt;0</formula>
    </cfRule>
  </conditionalFormatting>
  <conditionalFormatting sqref="H30:H35 H38:H46">
    <cfRule type="expression" dxfId="1240" priority="27">
      <formula>H30&gt;0</formula>
    </cfRule>
    <cfRule type="expression" dxfId="1239" priority="28">
      <formula>H30&lt;0</formula>
    </cfRule>
  </conditionalFormatting>
  <conditionalFormatting sqref="Q10">
    <cfRule type="expression" dxfId="1238" priority="25">
      <formula>Q10&gt;0</formula>
    </cfRule>
    <cfRule type="expression" dxfId="1237" priority="26">
      <formula>Q10&lt;0</formula>
    </cfRule>
  </conditionalFormatting>
  <conditionalFormatting sqref="J25:J38">
    <cfRule type="expression" dxfId="1236" priority="23">
      <formula>J25&gt;0</formula>
    </cfRule>
    <cfRule type="expression" dxfId="1235" priority="24">
      <formula>J25&lt;0</formula>
    </cfRule>
  </conditionalFormatting>
  <conditionalFormatting sqref="K25:K38">
    <cfRule type="expression" dxfId="1234" priority="21">
      <formula>K25&gt;0</formula>
    </cfRule>
    <cfRule type="expression" dxfId="1233" priority="22">
      <formula>K25&lt;0</formula>
    </cfRule>
  </conditionalFormatting>
  <conditionalFormatting sqref="L25:L32 L34 L38">
    <cfRule type="expression" dxfId="1232" priority="19">
      <formula>L25&gt;0</formula>
    </cfRule>
    <cfRule type="expression" dxfId="1231" priority="20">
      <formula>L25&lt;0</formula>
    </cfRule>
  </conditionalFormatting>
  <conditionalFormatting sqref="F89:F110">
    <cfRule type="expression" dxfId="1230" priority="17">
      <formula>F89&gt;0</formula>
    </cfRule>
    <cfRule type="expression" dxfId="1229" priority="18">
      <formula>F89&lt;0</formula>
    </cfRule>
  </conditionalFormatting>
  <conditionalFormatting sqref="H89:H110">
    <cfRule type="expression" dxfId="1228" priority="15">
      <formula>H89&gt;0</formula>
    </cfRule>
    <cfRule type="expression" dxfId="1227" priority="16">
      <formula>H89&lt;0</formula>
    </cfRule>
  </conditionalFormatting>
  <conditionalFormatting sqref="J89:J102">
    <cfRule type="expression" dxfId="1226" priority="13">
      <formula>J89&gt;0</formula>
    </cfRule>
    <cfRule type="expression" dxfId="1225" priority="14">
      <formula>J89&lt;0</formula>
    </cfRule>
  </conditionalFormatting>
  <conditionalFormatting sqref="K89:K102">
    <cfRule type="expression" dxfId="1224" priority="11">
      <formula>K89&gt;0</formula>
    </cfRule>
    <cfRule type="expression" dxfId="1223" priority="12">
      <formula>K89&lt;0</formula>
    </cfRule>
  </conditionalFormatting>
  <conditionalFormatting sqref="L89:L102">
    <cfRule type="expression" dxfId="1222" priority="9">
      <formula>L89&gt;0</formula>
    </cfRule>
    <cfRule type="expression" dxfId="1221" priority="10">
      <formula>L89&lt;0</formula>
    </cfRule>
  </conditionalFormatting>
  <conditionalFormatting sqref="F25:F29">
    <cfRule type="expression" dxfId="1220" priority="7">
      <formula>F25&gt;0</formula>
    </cfRule>
    <cfRule type="expression" dxfId="1219" priority="8">
      <formula>F25&lt;0</formula>
    </cfRule>
  </conditionalFormatting>
  <conditionalFormatting sqref="H25:H29">
    <cfRule type="expression" dxfId="1218" priority="5">
      <formula>H25&gt;0</formula>
    </cfRule>
    <cfRule type="expression" dxfId="1217" priority="6">
      <formula>H25&lt;0</formula>
    </cfRule>
  </conditionalFormatting>
  <conditionalFormatting sqref="F36:F37">
    <cfRule type="expression" dxfId="1216" priority="3">
      <formula>F36&gt;0</formula>
    </cfRule>
    <cfRule type="expression" dxfId="1215" priority="4">
      <formula>F36&lt;0</formula>
    </cfRule>
  </conditionalFormatting>
  <conditionalFormatting sqref="H36:H37">
    <cfRule type="expression" dxfId="1214" priority="1">
      <formula>H36&gt;0</formula>
    </cfRule>
    <cfRule type="expression" dxfId="1213" priority="2">
      <formula>H36&lt;0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913</v>
      </c>
      <c r="B2" s="434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918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36.409999999999997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36.409999999999997</v>
      </c>
      <c r="R4" s="495">
        <v>0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7.2507552870090641E-2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57" t="s">
        <v>78</v>
      </c>
      <c r="P16" s="857"/>
    </row>
    <row r="17" spans="1:16" ht="15.75" thickTop="1" x14ac:dyDescent="0.25">
      <c r="O17" s="81">
        <v>1.1000000000000001</v>
      </c>
      <c r="P17" s="81">
        <f>O17*$Q$4</f>
        <v>40.051000000000002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39.686900000000001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0"/>
        <v>39.322800000000001</v>
      </c>
    </row>
    <row r="20" spans="1:16" x14ac:dyDescent="0.25">
      <c r="O20" s="81">
        <v>1.07</v>
      </c>
      <c r="P20" s="81">
        <f t="shared" si="0"/>
        <v>38.9587</v>
      </c>
    </row>
    <row r="21" spans="1:16" x14ac:dyDescent="0.25">
      <c r="O21" s="81">
        <v>1.06</v>
      </c>
      <c r="P21" s="81">
        <f t="shared" si="0"/>
        <v>38.5946</v>
      </c>
    </row>
    <row r="22" spans="1:16" x14ac:dyDescent="0.25">
      <c r="O22" s="81">
        <v>1.05</v>
      </c>
      <c r="P22" s="81">
        <f t="shared" si="0"/>
        <v>38.230499999999999</v>
      </c>
    </row>
    <row r="23" spans="1:16" x14ac:dyDescent="0.25">
      <c r="O23" s="81">
        <v>1.04</v>
      </c>
      <c r="P23" s="81">
        <f t="shared" si="0"/>
        <v>37.866399999999999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662</v>
      </c>
      <c r="L24" s="220" t="s">
        <v>668</v>
      </c>
      <c r="O24" s="81">
        <v>1.03</v>
      </c>
      <c r="P24" s="81">
        <f t="shared" si="0"/>
        <v>37.502299999999998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222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37.138199999999998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222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36.774099999999997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222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36.409999999999997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222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36.045899999999996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222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35.681799999999996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222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35.317699999999995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222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34.953599999999994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222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34.589499999999994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222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34.225399999999993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222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33.8613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222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33.497199999999999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222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33.133099999999999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32.768999999999998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662</v>
      </c>
      <c r="L88" s="220" t="s">
        <v>668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12" priority="35">
      <formula>F47&gt;0</formula>
    </cfRule>
    <cfRule type="expression" dxfId="1211" priority="36">
      <formula>F47&lt;0</formula>
    </cfRule>
  </conditionalFormatting>
  <conditionalFormatting sqref="Q7">
    <cfRule type="expression" dxfId="1210" priority="33">
      <formula>Q7&gt;0</formula>
    </cfRule>
    <cfRule type="expression" dxfId="1209" priority="34">
      <formula>Q7&lt;0</formula>
    </cfRule>
  </conditionalFormatting>
  <conditionalFormatting sqref="Q8">
    <cfRule type="expression" dxfId="1208" priority="31">
      <formula>Q8&gt;0</formula>
    </cfRule>
    <cfRule type="expression" dxfId="1207" priority="32">
      <formula>Q8&lt;0</formula>
    </cfRule>
  </conditionalFormatting>
  <conditionalFormatting sqref="F32:F46">
    <cfRule type="expression" dxfId="1206" priority="29">
      <formula>F32&gt;0</formula>
    </cfRule>
    <cfRule type="expression" dxfId="1205" priority="30">
      <formula>F32&lt;0</formula>
    </cfRule>
  </conditionalFormatting>
  <conditionalFormatting sqref="H32:H46">
    <cfRule type="expression" dxfId="1204" priority="27">
      <formula>H32&gt;0</formula>
    </cfRule>
    <cfRule type="expression" dxfId="1203" priority="28">
      <formula>H32&lt;0</formula>
    </cfRule>
  </conditionalFormatting>
  <conditionalFormatting sqref="Q10">
    <cfRule type="expression" dxfId="1202" priority="25">
      <formula>Q10&gt;0</formula>
    </cfRule>
    <cfRule type="expression" dxfId="1201" priority="26">
      <formula>Q10&lt;0</formula>
    </cfRule>
  </conditionalFormatting>
  <conditionalFormatting sqref="J25:J38">
    <cfRule type="expression" dxfId="1200" priority="23">
      <formula>J25&gt;0</formula>
    </cfRule>
    <cfRule type="expression" dxfId="1199" priority="24">
      <formula>J25&lt;0</formula>
    </cfRule>
  </conditionalFormatting>
  <conditionalFormatting sqref="K25:K38">
    <cfRule type="expression" dxfId="1198" priority="21">
      <formula>K25&gt;0</formula>
    </cfRule>
    <cfRule type="expression" dxfId="1197" priority="22">
      <formula>K25&lt;0</formula>
    </cfRule>
  </conditionalFormatting>
  <conditionalFormatting sqref="L25:L38">
    <cfRule type="expression" dxfId="1196" priority="19">
      <formula>L25&gt;0</formula>
    </cfRule>
    <cfRule type="expression" dxfId="1195" priority="20">
      <formula>L25&lt;0</formula>
    </cfRule>
  </conditionalFormatting>
  <conditionalFormatting sqref="F89:F110">
    <cfRule type="expression" dxfId="1194" priority="17">
      <formula>F89&gt;0</formula>
    </cfRule>
    <cfRule type="expression" dxfId="1193" priority="18">
      <formula>F89&lt;0</formula>
    </cfRule>
  </conditionalFormatting>
  <conditionalFormatting sqref="H89:H110">
    <cfRule type="expression" dxfId="1192" priority="15">
      <formula>H89&gt;0</formula>
    </cfRule>
    <cfRule type="expression" dxfId="1191" priority="16">
      <formula>H89&lt;0</formula>
    </cfRule>
  </conditionalFormatting>
  <conditionalFormatting sqref="J89:J102">
    <cfRule type="expression" dxfId="1190" priority="13">
      <formula>J89&gt;0</formula>
    </cfRule>
    <cfRule type="expression" dxfId="1189" priority="14">
      <formula>J89&lt;0</formula>
    </cfRule>
  </conditionalFormatting>
  <conditionalFormatting sqref="K89:K102">
    <cfRule type="expression" dxfId="1188" priority="11">
      <formula>K89&gt;0</formula>
    </cfRule>
    <cfRule type="expression" dxfId="1187" priority="12">
      <formula>K89&lt;0</formula>
    </cfRule>
  </conditionalFormatting>
  <conditionalFormatting sqref="L89:L102">
    <cfRule type="expression" dxfId="1186" priority="9">
      <formula>L89&gt;0</formula>
    </cfRule>
    <cfRule type="expression" dxfId="1185" priority="10">
      <formula>L89&lt;0</formula>
    </cfRule>
  </conditionalFormatting>
  <conditionalFormatting sqref="F25:F28">
    <cfRule type="expression" dxfId="1184" priority="7">
      <formula>F25&gt;0</formula>
    </cfRule>
    <cfRule type="expression" dxfId="1183" priority="8">
      <formula>F25&lt;0</formula>
    </cfRule>
  </conditionalFormatting>
  <conditionalFormatting sqref="H25:H28">
    <cfRule type="expression" dxfId="1182" priority="5">
      <formula>H25&gt;0</formula>
    </cfRule>
    <cfRule type="expression" dxfId="1181" priority="6">
      <formula>H25&lt;0</formula>
    </cfRule>
  </conditionalFormatting>
  <conditionalFormatting sqref="F29:F31">
    <cfRule type="expression" dxfId="1180" priority="3">
      <formula>F29&gt;0</formula>
    </cfRule>
    <cfRule type="expression" dxfId="1179" priority="4">
      <formula>F29&lt;0</formula>
    </cfRule>
  </conditionalFormatting>
  <conditionalFormatting sqref="H29:H31">
    <cfRule type="expression" dxfId="1178" priority="1">
      <formula>H29&gt;0</formula>
    </cfRule>
    <cfRule type="expression" dxfId="1177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910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9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>
        <v>43222</v>
      </c>
      <c r="M2" s="43">
        <v>6.5</v>
      </c>
      <c r="O2" s="11" t="s">
        <v>57</v>
      </c>
      <c r="Q2">
        <f>C18-H18</f>
        <v>70</v>
      </c>
      <c r="T2" s="1" t="s">
        <v>955</v>
      </c>
      <c r="U2" t="s">
        <v>1067</v>
      </c>
    </row>
    <row r="3" spans="1:21" x14ac:dyDescent="0.25">
      <c r="A3" s="22" t="s">
        <v>71</v>
      </c>
      <c r="B3" s="434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434">
        <v>43284</v>
      </c>
      <c r="H3" s="80">
        <v>50</v>
      </c>
      <c r="I3" s="43">
        <v>130</v>
      </c>
      <c r="J3" s="43">
        <v>0.08</v>
      </c>
      <c r="K3" s="43">
        <f>H3*I3-J3</f>
        <v>6499.92</v>
      </c>
      <c r="L3" s="4"/>
      <c r="M3" s="4"/>
      <c r="O3" s="11" t="s">
        <v>58</v>
      </c>
      <c r="Q3" s="221">
        <f>IF(Q2=0, Q4, (F18-K18-M18)/Q2)</f>
        <v>125.24485714285711</v>
      </c>
      <c r="T3" s="1"/>
    </row>
    <row r="4" spans="1:21" x14ac:dyDescent="0.25">
      <c r="B4" s="434">
        <v>43181</v>
      </c>
      <c r="C4" s="4">
        <v>30</v>
      </c>
      <c r="D4" s="3">
        <v>137.88</v>
      </c>
      <c r="E4" s="3">
        <v>0</v>
      </c>
      <c r="F4" s="3">
        <f t="shared" si="0"/>
        <v>4136.3999999999996</v>
      </c>
      <c r="G4" s="434">
        <v>43284</v>
      </c>
      <c r="H4" s="80">
        <v>20</v>
      </c>
      <c r="I4" s="43">
        <v>135.94999999999999</v>
      </c>
      <c r="J4" s="43">
        <v>0.04</v>
      </c>
      <c r="K4" s="43">
        <f>H4*I4-J4</f>
        <v>2718.96</v>
      </c>
      <c r="L4" s="4"/>
      <c r="M4" s="4"/>
      <c r="O4" s="11" t="s">
        <v>66</v>
      </c>
      <c r="Q4" s="54">
        <v>134.3399</v>
      </c>
      <c r="R4" s="495">
        <v>3.3E-3</v>
      </c>
      <c r="T4" s="770">
        <v>43193</v>
      </c>
      <c r="U4" s="30" t="s">
        <v>962</v>
      </c>
    </row>
    <row r="5" spans="1:21" x14ac:dyDescent="0.25">
      <c r="B5" s="434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434">
        <v>43291</v>
      </c>
      <c r="H5" s="80">
        <v>30</v>
      </c>
      <c r="I5" s="43">
        <v>130.68</v>
      </c>
      <c r="J5" s="43">
        <v>0.05</v>
      </c>
      <c r="K5" s="43">
        <f>H5*I5-J5</f>
        <v>3920.35</v>
      </c>
      <c r="L5" s="4"/>
      <c r="M5" s="4"/>
      <c r="O5" s="11" t="s">
        <v>67</v>
      </c>
      <c r="Q5" s="3">
        <f>Q4*Q2</f>
        <v>9403.7929999999997</v>
      </c>
      <c r="U5" s="475" t="s">
        <v>993</v>
      </c>
    </row>
    <row r="6" spans="1:21" x14ac:dyDescent="0.25">
      <c r="B6" s="474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8767.1399999999976</v>
      </c>
    </row>
    <row r="7" spans="1:21" x14ac:dyDescent="0.25">
      <c r="B7" s="474">
        <v>43284</v>
      </c>
      <c r="C7" s="4">
        <v>20</v>
      </c>
      <c r="D7" s="3">
        <v>132.69999999999999</v>
      </c>
      <c r="E7" s="3">
        <v>0</v>
      </c>
      <c r="F7" s="3">
        <f t="shared" si="0"/>
        <v>2654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636.65300000000207</v>
      </c>
      <c r="R7" s="29">
        <v>43311</v>
      </c>
      <c r="T7" s="1">
        <v>43221</v>
      </c>
      <c r="U7" s="821" t="s">
        <v>1032</v>
      </c>
    </row>
    <row r="8" spans="1:21" x14ac:dyDescent="0.25">
      <c r="B8" s="474">
        <v>43286</v>
      </c>
      <c r="C8" s="4">
        <v>20</v>
      </c>
      <c r="D8" s="3">
        <v>127.58</v>
      </c>
      <c r="E8" s="3">
        <v>0</v>
      </c>
      <c r="F8" s="3">
        <f t="shared" si="0"/>
        <v>2551.6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636.65300000000207</v>
      </c>
      <c r="U8" t="s">
        <v>1033</v>
      </c>
    </row>
    <row r="9" spans="1:21" x14ac:dyDescent="0.25">
      <c r="B9" s="474">
        <v>43286</v>
      </c>
      <c r="C9" s="4">
        <v>10</v>
      </c>
      <c r="D9" s="3">
        <v>126.28</v>
      </c>
      <c r="E9" s="3">
        <v>0</v>
      </c>
      <c r="F9" s="3">
        <f t="shared" si="0"/>
        <v>1262.8</v>
      </c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7.2618094384257842E-2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3.8707785252184942E-3</v>
      </c>
      <c r="R11">
        <v>0.13</v>
      </c>
      <c r="T11" s="1">
        <v>43228</v>
      </c>
      <c r="U11" t="s">
        <v>1066</v>
      </c>
    </row>
    <row r="12" spans="1:21" x14ac:dyDescent="0.25">
      <c r="H12" s="70"/>
      <c r="O12" s="11" t="s">
        <v>938</v>
      </c>
      <c r="Q12" s="1" t="s">
        <v>1201</v>
      </c>
    </row>
    <row r="13" spans="1:21" x14ac:dyDescent="0.25">
      <c r="H13" s="70"/>
      <c r="O13" s="11" t="s">
        <v>965</v>
      </c>
      <c r="Q13">
        <f>Q4/8.62</f>
        <v>15.584675174013922</v>
      </c>
      <c r="T13" s="1">
        <v>43260</v>
      </c>
      <c r="U13" t="s">
        <v>1117</v>
      </c>
    </row>
    <row r="14" spans="1:21" x14ac:dyDescent="0.25">
      <c r="H14" s="70"/>
    </row>
    <row r="15" spans="1:21" x14ac:dyDescent="0.25">
      <c r="H15" s="70"/>
      <c r="T15" s="1">
        <v>43263</v>
      </c>
      <c r="U15" t="s">
        <v>1119</v>
      </c>
    </row>
    <row r="16" spans="1:21" x14ac:dyDescent="0.25">
      <c r="H16" s="70"/>
    </row>
    <row r="17" spans="1:21" x14ac:dyDescent="0.25">
      <c r="T17" s="1">
        <v>43264</v>
      </c>
      <c r="U17" t="s">
        <v>1122</v>
      </c>
    </row>
    <row r="18" spans="1:21" ht="20.25" thickBot="1" x14ac:dyDescent="0.35">
      <c r="A18" s="31" t="s">
        <v>81</v>
      </c>
      <c r="B18" s="14"/>
      <c r="C18" s="14">
        <f>SUM(C2:C10)</f>
        <v>190</v>
      </c>
      <c r="D18" s="18"/>
      <c r="E18" s="18"/>
      <c r="F18" s="18">
        <f>SUM(F2:F10)</f>
        <v>24943.999999999996</v>
      </c>
      <c r="G18" s="14"/>
      <c r="H18" s="71">
        <f>SUM(H2:H5)</f>
        <v>120</v>
      </c>
      <c r="I18" s="18"/>
      <c r="J18" s="18"/>
      <c r="K18" s="18">
        <f>SUM(K2:K5)</f>
        <v>16170.359999999999</v>
      </c>
      <c r="L18" s="14"/>
      <c r="M18" s="18">
        <f>SUM(M2:M10)</f>
        <v>6.5</v>
      </c>
      <c r="O18" s="777" t="s">
        <v>78</v>
      </c>
      <c r="P18" s="777"/>
      <c r="U18" t="s">
        <v>1123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90</v>
      </c>
      <c r="D19" s="343"/>
      <c r="E19" s="343"/>
      <c r="F19" s="344">
        <f>SumByColor($A$19,F2:F17)</f>
        <v>11414</v>
      </c>
      <c r="G19" s="343"/>
      <c r="H19" s="343">
        <f>SumByColor($A$19,H2:H17)</f>
        <v>120</v>
      </c>
      <c r="I19" s="343"/>
      <c r="J19" s="343"/>
      <c r="K19" s="344">
        <f>SumByColor($A$19,K2:K17)</f>
        <v>16170</v>
      </c>
      <c r="L19" s="343"/>
      <c r="M19" s="344">
        <f>SumByColor($A$19,M2:M17)</f>
        <v>6</v>
      </c>
      <c r="O19" s="81">
        <v>1.1000000000000001</v>
      </c>
      <c r="P19" s="81">
        <f>O19*$Q$4</f>
        <v>147.77389000000002</v>
      </c>
    </row>
    <row r="20" spans="1:21" x14ac:dyDescent="0.25">
      <c r="O20" s="81">
        <v>1.0900000000000001</v>
      </c>
      <c r="P20" s="81">
        <f t="shared" ref="P20:P39" si="1">O20*$Q$4</f>
        <v>146.43049100000002</v>
      </c>
      <c r="T20" s="1">
        <v>43279</v>
      </c>
      <c r="U20" t="s">
        <v>1140</v>
      </c>
    </row>
    <row r="21" spans="1:21" x14ac:dyDescent="0.25">
      <c r="O21" s="81">
        <v>1.08</v>
      </c>
      <c r="P21" s="81">
        <f t="shared" si="1"/>
        <v>145.08709200000001</v>
      </c>
    </row>
    <row r="22" spans="1:21" x14ac:dyDescent="0.25">
      <c r="O22" s="81">
        <v>1.07</v>
      </c>
      <c r="P22" s="81">
        <f t="shared" si="1"/>
        <v>143.74369300000001</v>
      </c>
    </row>
    <row r="23" spans="1:21" x14ac:dyDescent="0.25">
      <c r="O23" s="81">
        <v>1.06</v>
      </c>
      <c r="P23" s="81">
        <f t="shared" si="1"/>
        <v>142.400294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494</v>
      </c>
      <c r="L24" s="220" t="s">
        <v>965</v>
      </c>
      <c r="O24" s="81">
        <v>1.05</v>
      </c>
      <c r="P24" s="81">
        <f t="shared" si="1"/>
        <v>141.056895</v>
      </c>
    </row>
    <row r="25" spans="1:21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:F31" si="2">C25*(E25-D25)</f>
        <v>-1.0000000000002274</v>
      </c>
      <c r="G25" s="39">
        <f t="shared" ref="G25:G31" si="3">D25*C25</f>
        <v>3000</v>
      </c>
      <c r="H25" s="222">
        <f t="shared" ref="H25:H31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139.71349599999999</v>
      </c>
      <c r="T25" s="156">
        <v>43305</v>
      </c>
      <c r="U25" t="s">
        <v>1173</v>
      </c>
    </row>
    <row r="26" spans="1:21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si="2"/>
        <v>-53.599999999999</v>
      </c>
      <c r="G26" s="39">
        <f t="shared" si="3"/>
        <v>5925.5999999999995</v>
      </c>
      <c r="H26" s="222">
        <f t="shared" si="4"/>
        <v>-9.045497502362462E-3</v>
      </c>
      <c r="I26" s="39"/>
      <c r="J26" s="39"/>
      <c r="K26" s="39"/>
      <c r="L26" s="39"/>
      <c r="O26" s="81">
        <v>1.03</v>
      </c>
      <c r="P26" s="81">
        <f t="shared" si="1"/>
        <v>138.37009700000002</v>
      </c>
      <c r="T26" s="67"/>
    </row>
    <row r="27" spans="1:21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si="2"/>
        <v>136.73000000000002</v>
      </c>
      <c r="G27" s="39">
        <f t="shared" si="3"/>
        <v>2894.4700000000003</v>
      </c>
      <c r="H27" s="222">
        <f t="shared" si="4"/>
        <v>4.7238354517407335E-2</v>
      </c>
      <c r="I27" s="39"/>
      <c r="J27" s="39"/>
      <c r="K27" s="39"/>
      <c r="L27" s="39"/>
      <c r="O27" s="81">
        <v>1.02</v>
      </c>
      <c r="P27" s="81">
        <f t="shared" si="1"/>
        <v>137.02669800000001</v>
      </c>
      <c r="T27" s="156">
        <v>43313</v>
      </c>
      <c r="U27" t="s">
        <v>1172</v>
      </c>
    </row>
    <row r="28" spans="1:21" x14ac:dyDescent="0.25">
      <c r="B28" s="184">
        <v>43181</v>
      </c>
      <c r="C28" s="10">
        <v>50</v>
      </c>
      <c r="D28" s="39">
        <v>140.6174</v>
      </c>
      <c r="E28" s="39">
        <v>134.66</v>
      </c>
      <c r="F28" s="39">
        <f t="shared" si="2"/>
        <v>-297.87000000000035</v>
      </c>
      <c r="G28" s="39">
        <f t="shared" si="3"/>
        <v>7030.87</v>
      </c>
      <c r="H28" s="222">
        <f t="shared" si="4"/>
        <v>-4.2366022981508739E-2</v>
      </c>
      <c r="I28" s="39"/>
      <c r="J28" s="39"/>
      <c r="K28" s="39"/>
      <c r="L28" s="39"/>
      <c r="O28" s="81">
        <v>1.01</v>
      </c>
      <c r="P28" s="81">
        <f t="shared" si="1"/>
        <v>135.68329900000001</v>
      </c>
      <c r="T28" s="156">
        <v>43314</v>
      </c>
      <c r="U28" t="s">
        <v>1175</v>
      </c>
    </row>
    <row r="29" spans="1:21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si="2"/>
        <v>-410.86999999999989</v>
      </c>
      <c r="G29" s="39">
        <f t="shared" si="3"/>
        <v>7030.87</v>
      </c>
      <c r="H29" s="222">
        <f t="shared" si="4"/>
        <v>-5.8438002693834458E-2</v>
      </c>
      <c r="I29" s="39"/>
      <c r="J29" s="39"/>
      <c r="K29" s="39"/>
      <c r="L29" s="39"/>
      <c r="O29" s="81">
        <v>1</v>
      </c>
      <c r="P29" s="81">
        <f t="shared" si="1"/>
        <v>134.3399</v>
      </c>
      <c r="T29" s="156">
        <v>43326</v>
      </c>
      <c r="U29" t="s">
        <v>1174</v>
      </c>
    </row>
    <row r="30" spans="1:21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si="2"/>
        <v>-147.3700000000008</v>
      </c>
      <c r="G30" s="39">
        <f t="shared" si="3"/>
        <v>7030.87</v>
      </c>
      <c r="H30" s="222">
        <f t="shared" si="4"/>
        <v>-2.0960421683234195E-2</v>
      </c>
      <c r="I30" s="39"/>
      <c r="J30" s="39"/>
      <c r="K30" s="39"/>
      <c r="L30" s="39"/>
      <c r="O30" s="81">
        <v>0.99</v>
      </c>
      <c r="P30" s="81">
        <f t="shared" si="1"/>
        <v>132.99650099999999</v>
      </c>
    </row>
    <row r="31" spans="1:21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si="2"/>
        <v>-556.87000000000069</v>
      </c>
      <c r="G31" s="39">
        <f t="shared" si="3"/>
        <v>7030.87</v>
      </c>
      <c r="H31" s="222">
        <f t="shared" si="4"/>
        <v>-7.9203569401795321E-2</v>
      </c>
      <c r="I31" s="39"/>
      <c r="J31" s="39"/>
      <c r="K31" s="39"/>
      <c r="L31" s="39"/>
      <c r="O31" s="81">
        <v>0.98</v>
      </c>
      <c r="P31" s="81">
        <f t="shared" si="1"/>
        <v>131.65310199999999</v>
      </c>
    </row>
    <row r="32" spans="1:21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8" si="5">C32*(E32-D32)</f>
        <v>-439.36999999999955</v>
      </c>
      <c r="G32" s="39">
        <f t="shared" ref="G32:G38" si="6">D32*C32</f>
        <v>7030.87</v>
      </c>
      <c r="H32" s="222">
        <f t="shared" ref="H32:H38" si="7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1"/>
        <v>130.30970299999998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5"/>
        <v>-796.99999999999989</v>
      </c>
      <c r="G33" s="39">
        <f t="shared" si="6"/>
        <v>7031</v>
      </c>
      <c r="H33" s="222">
        <f t="shared" si="7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1"/>
        <v>128.96630400000001</v>
      </c>
    </row>
    <row r="34" spans="1:17" x14ac:dyDescent="0.25">
      <c r="A34">
        <v>50</v>
      </c>
      <c r="B34" s="184">
        <v>43217</v>
      </c>
      <c r="C34" s="7">
        <v>100</v>
      </c>
      <c r="D34" s="43">
        <v>131.64869999999999</v>
      </c>
      <c r="E34" s="39">
        <v>122.66</v>
      </c>
      <c r="F34" s="39">
        <f t="shared" si="5"/>
        <v>-898.86999999999944</v>
      </c>
      <c r="G34" s="39">
        <f t="shared" si="6"/>
        <v>13164.869999999999</v>
      </c>
      <c r="H34" s="222">
        <f t="shared" si="7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1"/>
        <v>127.62290499999999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5"/>
        <v>-1856.3699999999997</v>
      </c>
      <c r="G35" s="39">
        <f t="shared" si="6"/>
        <v>13158.369999999999</v>
      </c>
      <c r="H35" s="222">
        <f t="shared" si="7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1"/>
        <v>126.279506</v>
      </c>
    </row>
    <row r="36" spans="1:17" x14ac:dyDescent="0.25">
      <c r="B36" s="184">
        <v>43271</v>
      </c>
      <c r="C36" s="10">
        <v>100</v>
      </c>
      <c r="D36" s="39">
        <v>131.58000000000001</v>
      </c>
      <c r="E36" s="39">
        <v>121.84</v>
      </c>
      <c r="F36" s="39">
        <f t="shared" si="5"/>
        <v>-974.00000000000091</v>
      </c>
      <c r="G36" s="39">
        <f t="shared" si="6"/>
        <v>13158.000000000002</v>
      </c>
      <c r="H36" s="222">
        <f t="shared" si="7"/>
        <v>-7.4023407812737557E-2</v>
      </c>
      <c r="I36" s="39"/>
      <c r="J36" s="39"/>
      <c r="K36" s="39">
        <v>54</v>
      </c>
      <c r="L36" s="39">
        <v>14.13</v>
      </c>
      <c r="O36" s="81">
        <v>0.93</v>
      </c>
      <c r="P36" s="81">
        <f t="shared" si="1"/>
        <v>124.93610700000001</v>
      </c>
    </row>
    <row r="37" spans="1:17" x14ac:dyDescent="0.25">
      <c r="A37">
        <v>100</v>
      </c>
      <c r="B37" s="184">
        <v>43278</v>
      </c>
      <c r="C37" s="10">
        <v>100</v>
      </c>
      <c r="D37" s="39">
        <v>131.58000000000001</v>
      </c>
      <c r="E37" s="39">
        <v>119.85</v>
      </c>
      <c r="F37" s="39">
        <f t="shared" si="5"/>
        <v>-1173.0000000000018</v>
      </c>
      <c r="G37" s="39">
        <f t="shared" si="6"/>
        <v>13158.000000000002</v>
      </c>
      <c r="H37" s="222">
        <f t="shared" si="7"/>
        <v>-8.9147286821705557E-2</v>
      </c>
      <c r="I37" s="39"/>
      <c r="J37" s="39"/>
      <c r="K37" s="39"/>
      <c r="L37" s="39">
        <v>13.9</v>
      </c>
      <c r="O37" s="81">
        <v>0.92</v>
      </c>
      <c r="P37" s="81">
        <f t="shared" si="1"/>
        <v>123.592708</v>
      </c>
    </row>
    <row r="38" spans="1:17" x14ac:dyDescent="0.25">
      <c r="A38">
        <v>100</v>
      </c>
      <c r="B38" s="184">
        <v>43279</v>
      </c>
      <c r="C38" s="10">
        <v>120</v>
      </c>
      <c r="D38" s="39">
        <v>128.6498</v>
      </c>
      <c r="E38" s="39">
        <v>115.39</v>
      </c>
      <c r="F38" s="39">
        <f t="shared" si="5"/>
        <v>-1591.1759999999999</v>
      </c>
      <c r="G38" s="39">
        <f t="shared" si="6"/>
        <v>15437.976000000001</v>
      </c>
      <c r="H38" s="222">
        <f t="shared" si="7"/>
        <v>-0.10306895152576995</v>
      </c>
      <c r="I38" s="39"/>
      <c r="J38" s="39"/>
      <c r="K38" s="39"/>
      <c r="L38" s="39">
        <v>13.39</v>
      </c>
      <c r="O38" s="81">
        <v>0.91</v>
      </c>
      <c r="P38" s="81">
        <f t="shared" si="1"/>
        <v>122.24930900000001</v>
      </c>
    </row>
    <row r="39" spans="1:17" x14ac:dyDescent="0.25">
      <c r="A39">
        <v>100</v>
      </c>
      <c r="B39" s="184">
        <v>43283</v>
      </c>
      <c r="C39" s="10">
        <v>120</v>
      </c>
      <c r="D39" s="39">
        <v>128.6498</v>
      </c>
      <c r="E39" s="39">
        <v>117.12</v>
      </c>
      <c r="F39" s="39">
        <f t="shared" ref="F39:F44" si="8">C39*(E39-D39)</f>
        <v>-1383.5759999999993</v>
      </c>
      <c r="G39" s="39">
        <f t="shared" ref="G39:G44" si="9">D39*C39</f>
        <v>15437.976000000001</v>
      </c>
      <c r="H39" s="222">
        <f t="shared" ref="H39:H44" si="10">(E39-D39)/D39</f>
        <v>-8.9621592882382986E-2</v>
      </c>
      <c r="I39" s="39"/>
      <c r="J39" s="39"/>
      <c r="K39" s="39"/>
      <c r="L39" s="39"/>
      <c r="O39" s="81">
        <v>0.9</v>
      </c>
      <c r="P39" s="81">
        <f t="shared" si="1"/>
        <v>120.90591000000001</v>
      </c>
    </row>
    <row r="40" spans="1:17" x14ac:dyDescent="0.25">
      <c r="A40">
        <v>30</v>
      </c>
      <c r="B40" s="184">
        <v>43284</v>
      </c>
      <c r="C40" s="10">
        <v>50</v>
      </c>
      <c r="D40" s="39">
        <v>124.38</v>
      </c>
      <c r="E40" s="39">
        <v>135</v>
      </c>
      <c r="F40" s="39">
        <f t="shared" si="8"/>
        <v>531.00000000000023</v>
      </c>
      <c r="G40" s="39">
        <f t="shared" si="9"/>
        <v>6219</v>
      </c>
      <c r="H40" s="222">
        <f t="shared" si="10"/>
        <v>8.5383502170767039E-2</v>
      </c>
      <c r="I40" s="39"/>
      <c r="J40" s="39"/>
      <c r="K40" s="39"/>
      <c r="L40" s="39">
        <v>15.66</v>
      </c>
    </row>
    <row r="41" spans="1:17" x14ac:dyDescent="0.25">
      <c r="A41">
        <v>30</v>
      </c>
      <c r="B41" s="184">
        <v>43284</v>
      </c>
      <c r="C41" s="10">
        <v>70</v>
      </c>
      <c r="D41" s="39">
        <v>126.758</v>
      </c>
      <c r="E41" s="39">
        <v>132.19999999999999</v>
      </c>
      <c r="F41" s="39">
        <f t="shared" si="8"/>
        <v>380.93999999999949</v>
      </c>
      <c r="G41" s="39">
        <f t="shared" si="9"/>
        <v>8873.06</v>
      </c>
      <c r="H41" s="222">
        <f t="shared" si="10"/>
        <v>4.2932201517852861E-2</v>
      </c>
      <c r="I41" s="39"/>
      <c r="J41" s="39"/>
      <c r="K41" s="39"/>
      <c r="L41" s="39"/>
      <c r="Q41" s="2"/>
    </row>
    <row r="42" spans="1:17" x14ac:dyDescent="0.25">
      <c r="A42">
        <v>30</v>
      </c>
      <c r="B42" s="184">
        <v>43286</v>
      </c>
      <c r="C42" s="10">
        <v>90</v>
      </c>
      <c r="D42" s="39">
        <v>126.94</v>
      </c>
      <c r="E42" s="39">
        <v>127.58</v>
      </c>
      <c r="F42" s="39">
        <f t="shared" si="8"/>
        <v>57.600000000000051</v>
      </c>
      <c r="G42" s="39">
        <f t="shared" si="9"/>
        <v>11424.6</v>
      </c>
      <c r="H42" s="222">
        <f t="shared" si="10"/>
        <v>5.0417520088230708E-3</v>
      </c>
      <c r="I42" s="39"/>
      <c r="J42" s="39"/>
      <c r="K42" s="39"/>
      <c r="L42" s="39">
        <v>14.8</v>
      </c>
      <c r="Q42" s="2"/>
    </row>
    <row r="43" spans="1:17" x14ac:dyDescent="0.25">
      <c r="A43">
        <v>30</v>
      </c>
      <c r="B43" s="184">
        <v>43286</v>
      </c>
      <c r="C43" s="7">
        <v>100</v>
      </c>
      <c r="D43" s="43">
        <v>126.875</v>
      </c>
      <c r="E43" s="39">
        <v>126.28</v>
      </c>
      <c r="F43" s="39">
        <f t="shared" si="8"/>
        <v>-59.499999999999886</v>
      </c>
      <c r="G43" s="39">
        <f t="shared" si="9"/>
        <v>12687.5</v>
      </c>
      <c r="H43" s="222">
        <f t="shared" si="10"/>
        <v>-4.6896551724137838E-3</v>
      </c>
      <c r="I43" s="39"/>
      <c r="J43" s="39"/>
      <c r="K43" s="39"/>
      <c r="L43" s="39">
        <v>14.65</v>
      </c>
      <c r="Q43" s="2"/>
    </row>
    <row r="44" spans="1:17" x14ac:dyDescent="0.25">
      <c r="A44">
        <v>0</v>
      </c>
      <c r="B44" s="184">
        <v>43291</v>
      </c>
      <c r="C44" s="10">
        <v>70</v>
      </c>
      <c r="D44" s="39">
        <v>125.2449</v>
      </c>
      <c r="E44" s="39">
        <v>130.68</v>
      </c>
      <c r="F44" s="39">
        <f t="shared" si="8"/>
        <v>380.45700000000039</v>
      </c>
      <c r="G44" s="39">
        <f t="shared" si="9"/>
        <v>8767.143</v>
      </c>
      <c r="H44" s="222">
        <f t="shared" si="10"/>
        <v>4.3395778989803221E-2</v>
      </c>
      <c r="I44" s="39"/>
      <c r="J44" s="39"/>
      <c r="K44" s="39"/>
      <c r="L44" s="39">
        <v>15.16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662</v>
      </c>
      <c r="L88" s="220" t="s">
        <v>668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176" priority="31">
      <formula>F54&gt;0</formula>
    </cfRule>
    <cfRule type="expression" dxfId="1175" priority="32">
      <formula>F54&lt;0</formula>
    </cfRule>
  </conditionalFormatting>
  <conditionalFormatting sqref="Q7">
    <cfRule type="expression" dxfId="1174" priority="29">
      <formula>Q7&gt;0</formula>
    </cfRule>
    <cfRule type="expression" dxfId="1173" priority="30">
      <formula>Q7&lt;0</formula>
    </cfRule>
  </conditionalFormatting>
  <conditionalFormatting sqref="Q8">
    <cfRule type="expression" dxfId="1172" priority="27">
      <formula>Q8&gt;0</formula>
    </cfRule>
    <cfRule type="expression" dxfId="1171" priority="28">
      <formula>Q8&lt;0</formula>
    </cfRule>
  </conditionalFormatting>
  <conditionalFormatting sqref="F34:F53">
    <cfRule type="expression" dxfId="1170" priority="25">
      <formula>F34&gt;0</formula>
    </cfRule>
    <cfRule type="expression" dxfId="1169" priority="26">
      <formula>F34&lt;0</formula>
    </cfRule>
  </conditionalFormatting>
  <conditionalFormatting sqref="H34:H53">
    <cfRule type="expression" dxfId="1168" priority="23">
      <formula>H34&gt;0</formula>
    </cfRule>
    <cfRule type="expression" dxfId="1167" priority="24">
      <formula>H34&lt;0</formula>
    </cfRule>
  </conditionalFormatting>
  <conditionalFormatting sqref="Q10">
    <cfRule type="expression" dxfId="1166" priority="21">
      <formula>Q10&gt;0</formula>
    </cfRule>
    <cfRule type="expression" dxfId="1165" priority="22">
      <formula>Q10&lt;0</formula>
    </cfRule>
  </conditionalFormatting>
  <conditionalFormatting sqref="J25:J38">
    <cfRule type="expression" dxfId="1164" priority="19">
      <formula>J25&gt;0</formula>
    </cfRule>
    <cfRule type="expression" dxfId="1163" priority="20">
      <formula>J25&lt;0</formula>
    </cfRule>
  </conditionalFormatting>
  <conditionalFormatting sqref="K25:K35 K37:K38">
    <cfRule type="expression" dxfId="1162" priority="17">
      <formula>K25&gt;0</formula>
    </cfRule>
    <cfRule type="expression" dxfId="1161" priority="18">
      <formula>K25&lt;0</formula>
    </cfRule>
  </conditionalFormatting>
  <conditionalFormatting sqref="L25">
    <cfRule type="expression" dxfId="1160" priority="15">
      <formula>L25&gt;0</formula>
    </cfRule>
    <cfRule type="expression" dxfId="1159" priority="16">
      <formula>L25&lt;0</formula>
    </cfRule>
  </conditionalFormatting>
  <conditionalFormatting sqref="F89:F110">
    <cfRule type="expression" dxfId="1158" priority="13">
      <formula>F89&gt;0</formula>
    </cfRule>
    <cfRule type="expression" dxfId="1157" priority="14">
      <formula>F89&lt;0</formula>
    </cfRule>
  </conditionalFormatting>
  <conditionalFormatting sqref="H89:H110">
    <cfRule type="expression" dxfId="1156" priority="11">
      <formula>H89&gt;0</formula>
    </cfRule>
    <cfRule type="expression" dxfId="1155" priority="12">
      <formula>H89&lt;0</formula>
    </cfRule>
  </conditionalFormatting>
  <conditionalFormatting sqref="J89:J102">
    <cfRule type="expression" dxfId="1154" priority="9">
      <formula>J89&gt;0</formula>
    </cfRule>
    <cfRule type="expression" dxfId="1153" priority="10">
      <formula>J89&lt;0</formula>
    </cfRule>
  </conditionalFormatting>
  <conditionalFormatting sqref="K89:K102">
    <cfRule type="expression" dxfId="1152" priority="7">
      <formula>K89&gt;0</formula>
    </cfRule>
    <cfRule type="expression" dxfId="1151" priority="8">
      <formula>K89&lt;0</formula>
    </cfRule>
  </conditionalFormatting>
  <conditionalFormatting sqref="L89:L102">
    <cfRule type="expression" dxfId="1150" priority="5">
      <formula>L89&gt;0</formula>
    </cfRule>
    <cfRule type="expression" dxfId="1149" priority="6">
      <formula>L89&lt;0</formula>
    </cfRule>
  </conditionalFormatting>
  <conditionalFormatting sqref="F25:F33">
    <cfRule type="expression" dxfId="1148" priority="3">
      <formula>F25&gt;0</formula>
    </cfRule>
    <cfRule type="expression" dxfId="1147" priority="4">
      <formula>F25&lt;0</formula>
    </cfRule>
  </conditionalFormatting>
  <conditionalFormatting sqref="H25:H33">
    <cfRule type="expression" dxfId="1146" priority="1">
      <formula>H25&gt;0</formula>
    </cfRule>
    <cfRule type="expression" dxfId="114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909</v>
      </c>
      <c r="B2" s="47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249.23</v>
      </c>
      <c r="T3" s="1"/>
    </row>
    <row r="4" spans="1:21" x14ac:dyDescent="0.25">
      <c r="B4" s="47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249.23</v>
      </c>
      <c r="R4" s="495">
        <v>5.5999999999999999E-3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7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7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178</v>
      </c>
      <c r="Q7" s="2">
        <f>Q10+Q8</f>
        <v>423.00000000000364</v>
      </c>
      <c r="R7">
        <v>0</v>
      </c>
    </row>
    <row r="8" spans="1:21" x14ac:dyDescent="0.25">
      <c r="B8" s="47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423.00000000000364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206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965</v>
      </c>
      <c r="Q13">
        <v>16.34</v>
      </c>
      <c r="S13" s="22" t="s">
        <v>970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341" t="s">
        <v>193</v>
      </c>
      <c r="B19" s="342"/>
      <c r="C19" s="343">
        <f>SumByColor($A$19,C2:C17)</f>
        <v>95</v>
      </c>
      <c r="D19" s="343"/>
      <c r="E19" s="343"/>
      <c r="F19" s="344">
        <f>SumByColor($A$19,F2:F17)</f>
        <v>22833</v>
      </c>
      <c r="G19" s="343"/>
      <c r="H19" s="343">
        <f>SumByColor($A$19,H2:H17)</f>
        <v>95</v>
      </c>
      <c r="I19" s="343"/>
      <c r="J19" s="343"/>
      <c r="K19" s="344">
        <f>SumByColor($A$19,K2:K17)</f>
        <v>23170</v>
      </c>
      <c r="L19" s="343"/>
      <c r="M19" s="344">
        <f>SumByColor($A$19,M2:M17)</f>
        <v>85</v>
      </c>
    </row>
    <row r="22" spans="1:17" ht="20.25" thickBot="1" x14ac:dyDescent="0.35">
      <c r="O22" s="777" t="s">
        <v>78</v>
      </c>
      <c r="P22" s="777"/>
    </row>
    <row r="23" spans="1:17" ht="15.75" thickTop="1" x14ac:dyDescent="0.25">
      <c r="O23" s="81">
        <v>1.1000000000000001</v>
      </c>
      <c r="P23" s="81">
        <f>O23*$Q$4</f>
        <v>274.15300000000002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271.66070000000002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222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269.16840000000002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222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266.67610000000002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222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264.18380000000002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222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261.69150000000002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259.19920000000002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222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256.70690000000002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222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254.21459999999999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222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251.72229999999999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222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249.23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222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246.73769999999999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222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244.24539999999999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222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241.75309999999999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222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239.26079999999999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222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236.76849999999999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222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234.27619999999999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222">
        <f t="shared" si="5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231.78389999999999</v>
      </c>
    </row>
    <row r="41" spans="1:17" x14ac:dyDescent="0.25">
      <c r="B41" s="184">
        <v>43286</v>
      </c>
      <c r="C41" s="10">
        <v>0</v>
      </c>
      <c r="D41" s="39"/>
      <c r="E41" s="39"/>
      <c r="F41" s="39">
        <v>411.71</v>
      </c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229.29159999999999</v>
      </c>
    </row>
    <row r="42" spans="1:17" x14ac:dyDescent="0.25">
      <c r="B42" s="184">
        <v>43297</v>
      </c>
      <c r="C42" s="10">
        <v>0</v>
      </c>
      <c r="D42" s="39"/>
      <c r="E42" s="39"/>
      <c r="F42" s="39">
        <v>423</v>
      </c>
      <c r="G42" s="39"/>
      <c r="H42" s="222"/>
      <c r="I42" s="39"/>
      <c r="J42" s="39"/>
      <c r="K42" s="39"/>
      <c r="L42" s="39" t="s">
        <v>185</v>
      </c>
      <c r="O42" s="81">
        <v>0.91</v>
      </c>
      <c r="P42" s="81">
        <f t="shared" si="2"/>
        <v>226.79929999999999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224.30699999999999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662</v>
      </c>
      <c r="L88" s="220" t="s">
        <v>668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44" priority="31">
      <formula>F47&gt;0</formula>
    </cfRule>
    <cfRule type="expression" dxfId="1143" priority="32">
      <formula>F47&lt;0</formula>
    </cfRule>
  </conditionalFormatting>
  <conditionalFormatting sqref="Q7">
    <cfRule type="expression" dxfId="1142" priority="29">
      <formula>Q7&gt;0</formula>
    </cfRule>
    <cfRule type="expression" dxfId="1141" priority="30">
      <formula>Q7&lt;0</formula>
    </cfRule>
  </conditionalFormatting>
  <conditionalFormatting sqref="Q8">
    <cfRule type="expression" dxfId="1140" priority="27">
      <formula>Q8&gt;0</formula>
    </cfRule>
    <cfRule type="expression" dxfId="1139" priority="28">
      <formula>Q8&lt;0</formula>
    </cfRule>
  </conditionalFormatting>
  <conditionalFormatting sqref="F32:F46">
    <cfRule type="expression" dxfId="1138" priority="25">
      <formula>F32&gt;0</formula>
    </cfRule>
    <cfRule type="expression" dxfId="1137" priority="26">
      <formula>F32&lt;0</formula>
    </cfRule>
  </conditionalFormatting>
  <conditionalFormatting sqref="H32:H46">
    <cfRule type="expression" dxfId="1136" priority="23">
      <formula>H32&gt;0</formula>
    </cfRule>
    <cfRule type="expression" dxfId="1135" priority="24">
      <formula>H32&lt;0</formula>
    </cfRule>
  </conditionalFormatting>
  <conditionalFormatting sqref="Q10">
    <cfRule type="expression" dxfId="1134" priority="21">
      <formula>Q10&gt;0</formula>
    </cfRule>
    <cfRule type="expression" dxfId="1133" priority="22">
      <formula>Q10&lt;0</formula>
    </cfRule>
  </conditionalFormatting>
  <conditionalFormatting sqref="J25:J38">
    <cfRule type="expression" dxfId="1132" priority="19">
      <formula>J25&gt;0</formula>
    </cfRule>
    <cfRule type="expression" dxfId="1131" priority="20">
      <formula>J25&lt;0</formula>
    </cfRule>
  </conditionalFormatting>
  <conditionalFormatting sqref="K25:K38">
    <cfRule type="expression" dxfId="1130" priority="17">
      <formula>K25&gt;0</formula>
    </cfRule>
    <cfRule type="expression" dxfId="1129" priority="18">
      <formula>K25&lt;0</formula>
    </cfRule>
  </conditionalFormatting>
  <conditionalFormatting sqref="L25:L38">
    <cfRule type="expression" dxfId="1128" priority="15">
      <formula>L25&gt;0</formula>
    </cfRule>
    <cfRule type="expression" dxfId="1127" priority="16">
      <formula>L25&lt;0</formula>
    </cfRule>
  </conditionalFormatting>
  <conditionalFormatting sqref="F89:F110">
    <cfRule type="expression" dxfId="1126" priority="13">
      <formula>F89&gt;0</formula>
    </cfRule>
    <cfRule type="expression" dxfId="1125" priority="14">
      <formula>F89&lt;0</formula>
    </cfRule>
  </conditionalFormatting>
  <conditionalFormatting sqref="H89:H110">
    <cfRule type="expression" dxfId="1124" priority="11">
      <formula>H89&gt;0</formula>
    </cfRule>
    <cfRule type="expression" dxfId="1123" priority="12">
      <formula>H89&lt;0</formula>
    </cfRule>
  </conditionalFormatting>
  <conditionalFormatting sqref="J89:J102">
    <cfRule type="expression" dxfId="1122" priority="9">
      <formula>J89&gt;0</formula>
    </cfRule>
    <cfRule type="expression" dxfId="1121" priority="10">
      <formula>J89&lt;0</formula>
    </cfRule>
  </conditionalFormatting>
  <conditionalFormatting sqref="K89:K102">
    <cfRule type="expression" dxfId="1120" priority="7">
      <formula>K89&gt;0</formula>
    </cfRule>
    <cfRule type="expression" dxfId="1119" priority="8">
      <formula>K89&lt;0</formula>
    </cfRule>
  </conditionalFormatting>
  <conditionalFormatting sqref="L89:L102">
    <cfRule type="expression" dxfId="1118" priority="5">
      <formula>L89&gt;0</formula>
    </cfRule>
    <cfRule type="expression" dxfId="1117" priority="6">
      <formula>L89&lt;0</formula>
    </cfRule>
  </conditionalFormatting>
  <conditionalFormatting sqref="F25:F31">
    <cfRule type="expression" dxfId="1116" priority="3">
      <formula>F25&gt;0</formula>
    </cfRule>
    <cfRule type="expression" dxfId="1115" priority="4">
      <formula>F25&lt;0</formula>
    </cfRule>
  </conditionalFormatting>
  <conditionalFormatting sqref="H25:H31">
    <cfRule type="expression" dxfId="1114" priority="1">
      <formula>H25&gt;0</formula>
    </cfRule>
    <cfRule type="expression" dxfId="1113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914</v>
      </c>
      <c r="B2" s="434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809</v>
      </c>
    </row>
    <row r="3" spans="1:21" x14ac:dyDescent="0.25">
      <c r="A3" s="22" t="s">
        <v>71</v>
      </c>
      <c r="B3" s="434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434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221">
        <f>IF(Q2=0, Q4, (F18-K18-M18)/Q2)</f>
        <v>65.015000000000029</v>
      </c>
      <c r="T3" s="1"/>
    </row>
    <row r="4" spans="1:21" x14ac:dyDescent="0.25">
      <c r="B4" s="474">
        <v>43300</v>
      </c>
      <c r="C4" s="4">
        <v>60</v>
      </c>
      <c r="D4" s="3">
        <v>75.7</v>
      </c>
      <c r="E4" s="3">
        <v>0</v>
      </c>
      <c r="F4" s="3">
        <f>C4*D4+E4</f>
        <v>4542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76.299899999999994</v>
      </c>
      <c r="R4" s="495">
        <v>-9.7000000000000003E-3</v>
      </c>
      <c r="T4" s="770">
        <v>43103</v>
      </c>
      <c r="U4" s="30" t="s">
        <v>832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4577.9939999999997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3900.9000000000019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677.09399999999823</v>
      </c>
      <c r="R7" s="29">
        <v>43332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677.09399999999823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0.17357379066369247</v>
      </c>
      <c r="T9" s="770">
        <v>43249</v>
      </c>
      <c r="U9" t="s">
        <v>1108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1.2581929989423316E-2</v>
      </c>
      <c r="R11">
        <v>0.24</v>
      </c>
    </row>
    <row r="12" spans="1:21" x14ac:dyDescent="0.25">
      <c r="H12" s="70"/>
      <c r="O12" s="11" t="s">
        <v>938</v>
      </c>
      <c r="Q12" s="1" t="s">
        <v>1203</v>
      </c>
    </row>
    <row r="13" spans="1:21" x14ac:dyDescent="0.25">
      <c r="H13" s="70"/>
      <c r="O13" s="11" t="s">
        <v>965</v>
      </c>
      <c r="Q13">
        <f>Q4/3.55</f>
        <v>21.492929577464789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100</v>
      </c>
      <c r="I18" s="18"/>
      <c r="J18" s="18"/>
      <c r="K18" s="18">
        <f>SUM(K2:K5)</f>
        <v>7496.2999999999993</v>
      </c>
      <c r="L18" s="14"/>
      <c r="M18" s="18">
        <f>SUM(M2:M10)</f>
        <v>24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6879</v>
      </c>
      <c r="G19" s="343"/>
      <c r="H19" s="343">
        <f>SumByColor($A$19,H2:H17)</f>
        <v>100</v>
      </c>
      <c r="I19" s="343"/>
      <c r="J19" s="343"/>
      <c r="K19" s="344">
        <f>SumByColor($A$19,K2:K17)</f>
        <v>7497</v>
      </c>
      <c r="L19" s="343"/>
      <c r="M19" s="344">
        <f>SumByColor($A$19,M2:M17)</f>
        <v>24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83.92989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662</v>
      </c>
      <c r="L24" s="220" t="s">
        <v>668</v>
      </c>
      <c r="O24" s="81">
        <v>1.0900000000000001</v>
      </c>
      <c r="P24" s="81">
        <f t="shared" ref="P24:P43" si="0">O24*$Q$4</f>
        <v>83.166890999999993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222">
        <f t="shared" ref="H25:H32" si="3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0"/>
        <v>82.403891999999999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222">
        <f t="shared" si="3"/>
        <v>7.8129624149156571E-2</v>
      </c>
      <c r="I26" s="39"/>
      <c r="J26" s="39"/>
      <c r="K26" s="39"/>
      <c r="L26" s="39"/>
      <c r="O26" s="81">
        <v>1.07</v>
      </c>
      <c r="P26" s="81">
        <f t="shared" si="0"/>
        <v>81.640892999999991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222">
        <f t="shared" si="3"/>
        <v>7.6923076923076816E-2</v>
      </c>
      <c r="I27" s="39"/>
      <c r="J27" s="39"/>
      <c r="K27" s="39"/>
      <c r="L27" s="155"/>
      <c r="O27" s="81">
        <v>1.06</v>
      </c>
      <c r="P27" s="81">
        <f t="shared" si="0"/>
        <v>80.877893999999998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222">
        <f t="shared" si="3"/>
        <v>6.2518562518562429E-2</v>
      </c>
      <c r="I28" s="39"/>
      <c r="J28" s="39"/>
      <c r="K28" s="39"/>
      <c r="L28" s="155"/>
      <c r="O28" s="81">
        <v>1.05</v>
      </c>
      <c r="P28" s="81">
        <f t="shared" si="0"/>
        <v>80.11489499999999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222">
        <f t="shared" si="3"/>
        <v>1.6361942471177292E-2</v>
      </c>
      <c r="I29" s="39"/>
      <c r="J29" s="39"/>
      <c r="K29" s="39"/>
      <c r="L29" s="155"/>
      <c r="O29" s="81">
        <v>1.04</v>
      </c>
      <c r="P29" s="81">
        <f t="shared" si="0"/>
        <v>79.351895999999996</v>
      </c>
      <c r="Q29" s="2"/>
    </row>
    <row r="30" spans="1:17" x14ac:dyDescent="0.25">
      <c r="A30">
        <v>0</v>
      </c>
      <c r="B30" s="184">
        <v>43256</v>
      </c>
      <c r="C30" s="228">
        <v>60</v>
      </c>
      <c r="D30" s="229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222">
        <f t="shared" si="3"/>
        <v>0.12069751192392984</v>
      </c>
      <c r="I30" s="39"/>
      <c r="J30" s="39"/>
      <c r="K30" s="39"/>
      <c r="L30" s="155"/>
      <c r="O30" s="81">
        <v>1.03</v>
      </c>
      <c r="P30" s="81">
        <f t="shared" si="0"/>
        <v>78.588896999999989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222">
        <f t="shared" si="3"/>
        <v>0.14424157730048295</v>
      </c>
      <c r="I31" s="39"/>
      <c r="J31" s="39"/>
      <c r="K31" s="39"/>
      <c r="L31" s="155"/>
      <c r="O31" s="81">
        <v>1.02</v>
      </c>
      <c r="P31" s="81">
        <f t="shared" si="0"/>
        <v>77.825897999999995</v>
      </c>
      <c r="Q31" s="2"/>
    </row>
    <row r="32" spans="1:17" x14ac:dyDescent="0.25">
      <c r="A32">
        <v>60</v>
      </c>
      <c r="B32" s="18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222">
        <f t="shared" si="3"/>
        <v>0.12129158154709278</v>
      </c>
      <c r="I32" s="39"/>
      <c r="J32" s="39"/>
      <c r="K32" s="39"/>
      <c r="L32" s="155"/>
      <c r="O32" s="81">
        <v>1.01</v>
      </c>
      <c r="P32" s="81">
        <f t="shared" si="0"/>
        <v>77.062898999999987</v>
      </c>
      <c r="Q32" s="2"/>
    </row>
    <row r="33" spans="2:17" x14ac:dyDescent="0.25">
      <c r="B33" s="184">
        <v>43299</v>
      </c>
      <c r="C33" s="10">
        <v>0</v>
      </c>
      <c r="D33" s="39"/>
      <c r="E33" s="39">
        <v>76.28</v>
      </c>
      <c r="F33" s="39">
        <v>641.1</v>
      </c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76.299899999999994</v>
      </c>
      <c r="Q33" s="2"/>
    </row>
    <row r="34" spans="2:17" x14ac:dyDescent="0.25">
      <c r="B34" s="184">
        <v>43300</v>
      </c>
      <c r="C34" s="228">
        <v>60</v>
      </c>
      <c r="D34" s="229">
        <v>65.015000000000001</v>
      </c>
      <c r="E34" s="39">
        <v>75.760000000000005</v>
      </c>
      <c r="F34" s="39">
        <f t="shared" ref="F34" si="4">C34*(E34-D34)</f>
        <v>644.70000000000027</v>
      </c>
      <c r="G34" s="39">
        <f t="shared" ref="G34" si="5">D34*C34</f>
        <v>3900.9</v>
      </c>
      <c r="H34" s="222">
        <f t="shared" ref="H34" si="6">(E34-D34)/D34</f>
        <v>0.16526955318003544</v>
      </c>
      <c r="I34" s="39"/>
      <c r="J34" s="39"/>
      <c r="K34" s="39"/>
      <c r="L34" s="155"/>
      <c r="O34" s="81">
        <v>0.99</v>
      </c>
      <c r="P34" s="81">
        <f t="shared" si="0"/>
        <v>75.536901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74.773901999999993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74.010902999999999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73.247903999999991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72.484904999999998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71.72190599999999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70.958906999999996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70.195908000000003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69.432908999999995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68.669910000000002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662</v>
      </c>
      <c r="L88" s="220" t="s">
        <v>668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12" priority="35">
      <formula>F47&gt;0</formula>
    </cfRule>
    <cfRule type="expression" dxfId="1111" priority="36">
      <formula>F47&lt;0</formula>
    </cfRule>
  </conditionalFormatting>
  <conditionalFormatting sqref="Q7">
    <cfRule type="expression" dxfId="1110" priority="33">
      <formula>Q7&gt;0</formula>
    </cfRule>
    <cfRule type="expression" dxfId="1109" priority="34">
      <formula>Q7&lt;0</formula>
    </cfRule>
  </conditionalFormatting>
  <conditionalFormatting sqref="Q8">
    <cfRule type="expression" dxfId="1108" priority="31">
      <formula>Q8&gt;0</formula>
    </cfRule>
    <cfRule type="expression" dxfId="1107" priority="32">
      <formula>Q8&lt;0</formula>
    </cfRule>
  </conditionalFormatting>
  <conditionalFormatting sqref="F30:F33 F35:F46">
    <cfRule type="expression" dxfId="1106" priority="29">
      <formula>F30&gt;0</formula>
    </cfRule>
    <cfRule type="expression" dxfId="1105" priority="30">
      <formula>F30&lt;0</formula>
    </cfRule>
  </conditionalFormatting>
  <conditionalFormatting sqref="H30:H33 H35:H46">
    <cfRule type="expression" dxfId="1104" priority="27">
      <formula>H30&gt;0</formula>
    </cfRule>
    <cfRule type="expression" dxfId="1103" priority="28">
      <formula>H30&lt;0</formula>
    </cfRule>
  </conditionalFormatting>
  <conditionalFormatting sqref="Q10">
    <cfRule type="expression" dxfId="1102" priority="25">
      <formula>Q10&gt;0</formula>
    </cfRule>
    <cfRule type="expression" dxfId="1101" priority="26">
      <formula>Q10&lt;0</formula>
    </cfRule>
  </conditionalFormatting>
  <conditionalFormatting sqref="J25:J38">
    <cfRule type="expression" dxfId="1100" priority="23">
      <formula>J25&gt;0</formula>
    </cfRule>
    <cfRule type="expression" dxfId="1099" priority="24">
      <formula>J25&lt;0</formula>
    </cfRule>
  </conditionalFormatting>
  <conditionalFormatting sqref="K25:K38">
    <cfRule type="expression" dxfId="1098" priority="21">
      <formula>K25&gt;0</formula>
    </cfRule>
    <cfRule type="expression" dxfId="1097" priority="22">
      <formula>K25&lt;0</formula>
    </cfRule>
  </conditionalFormatting>
  <conditionalFormatting sqref="L25:L38">
    <cfRule type="expression" dxfId="1096" priority="19">
      <formula>L25&gt;0</formula>
    </cfRule>
    <cfRule type="expression" dxfId="1095" priority="20">
      <formula>L25&lt;0</formula>
    </cfRule>
  </conditionalFormatting>
  <conditionalFormatting sqref="F89:F110">
    <cfRule type="expression" dxfId="1094" priority="17">
      <formula>F89&gt;0</formula>
    </cfRule>
    <cfRule type="expression" dxfId="1093" priority="18">
      <formula>F89&lt;0</formula>
    </cfRule>
  </conditionalFormatting>
  <conditionalFormatting sqref="H89:H110">
    <cfRule type="expression" dxfId="1092" priority="15">
      <formula>H89&gt;0</formula>
    </cfRule>
    <cfRule type="expression" dxfId="1091" priority="16">
      <formula>H89&lt;0</formula>
    </cfRule>
  </conditionalFormatting>
  <conditionalFormatting sqref="J89:J102">
    <cfRule type="expression" dxfId="1090" priority="13">
      <formula>J89&gt;0</formula>
    </cfRule>
    <cfRule type="expression" dxfId="1089" priority="14">
      <formula>J89&lt;0</formula>
    </cfRule>
  </conditionalFormatting>
  <conditionalFormatting sqref="K89:K102">
    <cfRule type="expression" dxfId="1088" priority="11">
      <formula>K89&gt;0</formula>
    </cfRule>
    <cfRule type="expression" dxfId="1087" priority="12">
      <formula>K89&lt;0</formula>
    </cfRule>
  </conditionalFormatting>
  <conditionalFormatting sqref="L89:L102">
    <cfRule type="expression" dxfId="1086" priority="9">
      <formula>L89&gt;0</formula>
    </cfRule>
    <cfRule type="expression" dxfId="1085" priority="10">
      <formula>L89&lt;0</formula>
    </cfRule>
  </conditionalFormatting>
  <conditionalFormatting sqref="F25:F29">
    <cfRule type="expression" dxfId="1084" priority="7">
      <formula>F25&gt;0</formula>
    </cfRule>
    <cfRule type="expression" dxfId="1083" priority="8">
      <formula>F25&lt;0</formula>
    </cfRule>
  </conditionalFormatting>
  <conditionalFormatting sqref="H25:H29">
    <cfRule type="expression" dxfId="1082" priority="5">
      <formula>H25&gt;0</formula>
    </cfRule>
    <cfRule type="expression" dxfId="1081" priority="6">
      <formula>H25&lt;0</formula>
    </cfRule>
  </conditionalFormatting>
  <conditionalFormatting sqref="F34">
    <cfRule type="expression" dxfId="1080" priority="3">
      <formula>F34&gt;0</formula>
    </cfRule>
    <cfRule type="expression" dxfId="1079" priority="4">
      <formula>F34&lt;0</formula>
    </cfRule>
  </conditionalFormatting>
  <conditionalFormatting sqref="H34">
    <cfRule type="expression" dxfId="1078" priority="1">
      <formula>H34&gt;0</formula>
    </cfRule>
    <cfRule type="expression" dxfId="1077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77.569999999999993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77.569999999999993</v>
      </c>
      <c r="R4" s="475">
        <v>3.8E-3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207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206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494</v>
      </c>
      <c r="J22" s="220" t="s">
        <v>150</v>
      </c>
      <c r="K22" s="220" t="s">
        <v>662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269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57" t="s">
        <v>78</v>
      </c>
      <c r="P44" s="857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85.326999999999998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84.551299999999998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83.775599999999997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82.999899999999997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82.224199999999996</v>
      </c>
      <c r="T49" s="91" t="s">
        <v>121</v>
      </c>
      <c r="U49" s="127" t="s">
        <v>519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81.448499999999996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80.672799999999995</v>
      </c>
      <c r="T51" s="91" t="s">
        <v>104</v>
      </c>
      <c r="U51" s="127" t="s">
        <v>593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79.897099999999995</v>
      </c>
      <c r="T52" s="91" t="s">
        <v>105</v>
      </c>
      <c r="U52" s="127" t="s">
        <v>594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79.121399999999994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78.345699999999994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77.569999999999993</v>
      </c>
      <c r="T55" s="91" t="s">
        <v>107</v>
      </c>
      <c r="U55" s="127" t="s">
        <v>595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76.794299999999993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76.018599999999992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75.242899999999992</v>
      </c>
      <c r="T58" s="91" t="s">
        <v>108</v>
      </c>
      <c r="U58" s="127" t="s">
        <v>536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74.467199999999991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73.691499999999991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72.91579999999999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72.140100000000004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71.364400000000003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70.588700000000003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69.813000000000002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76" priority="57">
      <formula>F27&gt;0</formula>
    </cfRule>
    <cfRule type="expression" dxfId="1075" priority="58">
      <formula>F27&lt;0</formula>
    </cfRule>
  </conditionalFormatting>
  <conditionalFormatting sqref="H28:H33">
    <cfRule type="expression" dxfId="1074" priority="53">
      <formula>H28&gt;0</formula>
    </cfRule>
    <cfRule type="expression" dxfId="1073" priority="54">
      <formula>H28&lt;0</formula>
    </cfRule>
  </conditionalFormatting>
  <conditionalFormatting sqref="F24:F26">
    <cfRule type="expression" dxfId="1072" priority="39">
      <formula>F24&gt;0</formula>
    </cfRule>
    <cfRule type="expression" dxfId="1071" priority="40">
      <formula>F24&lt;0</formula>
    </cfRule>
  </conditionalFormatting>
  <conditionalFormatting sqref="Q8">
    <cfRule type="expression" dxfId="1070" priority="33">
      <formula>Q8&gt;0</formula>
    </cfRule>
    <cfRule type="expression" dxfId="1069" priority="34">
      <formula>Q8&lt;0</formula>
    </cfRule>
  </conditionalFormatting>
  <conditionalFormatting sqref="Q7">
    <cfRule type="expression" dxfId="1068" priority="35">
      <formula>Q7&gt;0</formula>
    </cfRule>
    <cfRule type="expression" dxfId="1067" priority="36">
      <formula>Q7&lt;0</formula>
    </cfRule>
  </conditionalFormatting>
  <conditionalFormatting sqref="F34">
    <cfRule type="expression" dxfId="1066" priority="31">
      <formula>F34&gt;0</formula>
    </cfRule>
    <cfRule type="expression" dxfId="1065" priority="32">
      <formula>F34&lt;0</formula>
    </cfRule>
  </conditionalFormatting>
  <conditionalFormatting sqref="H34">
    <cfRule type="expression" dxfId="1064" priority="29">
      <formula>H34&gt;0</formula>
    </cfRule>
    <cfRule type="expression" dxfId="1063" priority="30">
      <formula>H34&lt;0</formula>
    </cfRule>
  </conditionalFormatting>
  <conditionalFormatting sqref="M36">
    <cfRule type="expression" dxfId="1062" priority="19">
      <formula>M36&gt;0</formula>
    </cfRule>
    <cfRule type="expression" dxfId="1061" priority="20">
      <formula>M36&lt;0</formula>
    </cfRule>
  </conditionalFormatting>
  <conditionalFormatting sqref="Q10">
    <cfRule type="expression" dxfId="1060" priority="15">
      <formula>Q10&gt;0</formula>
    </cfRule>
    <cfRule type="expression" dxfId="1059" priority="16">
      <formula>Q10&lt;0</formula>
    </cfRule>
  </conditionalFormatting>
  <conditionalFormatting sqref="F23">
    <cfRule type="expression" dxfId="1058" priority="13">
      <formula>F23&gt;0</formula>
    </cfRule>
    <cfRule type="expression" dxfId="1057" priority="14">
      <formula>F23&lt;0</formula>
    </cfRule>
  </conditionalFormatting>
  <conditionalFormatting sqref="I25:J25">
    <cfRule type="expression" dxfId="1056" priority="9">
      <formula>I25&gt;0</formula>
    </cfRule>
    <cfRule type="expression" dxfId="1055" priority="10">
      <formula>I25&lt;0</formula>
    </cfRule>
  </conditionalFormatting>
  <conditionalFormatting sqref="I26:J27">
    <cfRule type="expression" dxfId="1054" priority="7">
      <formula>I26&gt;0</formula>
    </cfRule>
    <cfRule type="expression" dxfId="1053" priority="8">
      <formula>I26&lt;0</formula>
    </cfRule>
  </conditionalFormatting>
  <conditionalFormatting sqref="K25:K27">
    <cfRule type="expression" dxfId="1052" priority="5">
      <formula>K25&gt;0</formula>
    </cfRule>
    <cfRule type="expression" dxfId="1051" priority="6">
      <formula>K25&lt;0</formula>
    </cfRule>
  </conditionalFormatting>
  <conditionalFormatting sqref="I23:J23">
    <cfRule type="expression" dxfId="1050" priority="3">
      <formula>I23&gt;0</formula>
    </cfRule>
    <cfRule type="expression" dxfId="1049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178"/>
  <sheetViews>
    <sheetView zoomScale="98" zoomScaleNormal="98" workbookViewId="0">
      <pane ySplit="1" topLeftCell="A17" activePane="bottomLeft" state="frozen"/>
      <selection activeCell="A2" sqref="A2"/>
      <selection pane="bottomLeft" activeCell="K28" sqref="K28"/>
    </sheetView>
  </sheetViews>
  <sheetFormatPr defaultRowHeight="15" x14ac:dyDescent="0.25"/>
  <cols>
    <col min="2" max="2" width="9.7109375" bestFit="1" customWidth="1"/>
    <col min="4" max="6" width="9.140625" style="2"/>
    <col min="7" max="7" width="10.7109375" bestFit="1" customWidth="1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707"/>
      <c r="AA1" s="731" t="s">
        <v>749</v>
      </c>
      <c r="AB1" s="731" t="s">
        <v>706</v>
      </c>
      <c r="AC1" s="731" t="s">
        <v>925</v>
      </c>
      <c r="AD1" s="731" t="s">
        <v>924</v>
      </c>
      <c r="AE1" s="731" t="s">
        <v>1057</v>
      </c>
      <c r="AF1" s="707"/>
      <c r="AG1" s="707"/>
    </row>
    <row r="2" spans="1:33" x14ac:dyDescent="0.25">
      <c r="A2" s="6" t="s">
        <v>224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24" si="1">I2*H2-J2</f>
        <v>2890.94</v>
      </c>
      <c r="L2" s="72">
        <v>42810</v>
      </c>
      <c r="M2" s="43">
        <v>27.5</v>
      </c>
      <c r="O2" s="11" t="s">
        <v>57</v>
      </c>
      <c r="Q2">
        <f>C32-H32</f>
        <v>400</v>
      </c>
      <c r="X2" s="736"/>
      <c r="Z2" s="708" t="s">
        <v>750</v>
      </c>
      <c r="AA2" s="730">
        <v>42948</v>
      </c>
      <c r="AB2" s="730">
        <v>43039</v>
      </c>
      <c r="AC2" s="730">
        <v>43150</v>
      </c>
      <c r="AD2" s="730"/>
      <c r="AE2" s="730"/>
      <c r="AF2" s="676"/>
      <c r="AG2" s="676"/>
    </row>
    <row r="3" spans="1:33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(F32-K32-M32)/Q2)</f>
        <v>17.576174999999893</v>
      </c>
      <c r="U3" t="s">
        <v>724</v>
      </c>
      <c r="V3" s="22" t="s">
        <v>723</v>
      </c>
      <c r="Z3" s="710"/>
      <c r="AA3" s="676"/>
      <c r="AB3" s="676"/>
      <c r="AC3" s="676"/>
      <c r="AD3" s="676"/>
      <c r="AE3" s="676"/>
      <c r="AF3" s="676"/>
      <c r="AG3" s="676"/>
    </row>
    <row r="4" spans="1:33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29.779900000000001</v>
      </c>
      <c r="R4" s="494">
        <v>-3.0000000000000001E-3</v>
      </c>
      <c r="Z4" s="710" t="s">
        <v>718</v>
      </c>
      <c r="AA4" s="714">
        <v>320</v>
      </c>
      <c r="AB4" s="714">
        <v>310</v>
      </c>
      <c r="AC4" s="714">
        <v>320</v>
      </c>
      <c r="AD4" s="714"/>
      <c r="AE4" s="714"/>
      <c r="AF4" s="676"/>
      <c r="AG4" s="676"/>
    </row>
    <row r="5" spans="1:33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11911.960000000001</v>
      </c>
      <c r="Z5" s="711" t="s">
        <v>711</v>
      </c>
      <c r="AA5" s="714">
        <v>340</v>
      </c>
      <c r="AB5" s="714">
        <v>330</v>
      </c>
      <c r="AC5" s="714">
        <v>350</v>
      </c>
      <c r="AD5" s="714"/>
      <c r="AE5" s="714"/>
      <c r="AF5" s="676"/>
      <c r="AG5" s="676"/>
    </row>
    <row r="6" spans="1:33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7030.4699999999575</v>
      </c>
      <c r="U6" s="770">
        <v>43150</v>
      </c>
      <c r="V6" t="s">
        <v>82</v>
      </c>
      <c r="Z6" s="712" t="s">
        <v>704</v>
      </c>
      <c r="AA6" s="714">
        <v>336</v>
      </c>
      <c r="AB6" s="728">
        <v>329</v>
      </c>
      <c r="AC6" s="728">
        <v>348</v>
      </c>
      <c r="AD6" s="728">
        <v>431</v>
      </c>
      <c r="AE6" s="728"/>
      <c r="AF6" s="676"/>
      <c r="AG6" s="676"/>
    </row>
    <row r="7" spans="1:33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6333.7500000000418</v>
      </c>
      <c r="R7" s="29">
        <v>43325</v>
      </c>
      <c r="V7" t="s">
        <v>967</v>
      </c>
      <c r="Z7" s="712" t="s">
        <v>739</v>
      </c>
      <c r="AA7" s="714">
        <v>343</v>
      </c>
      <c r="AB7" s="714">
        <v>326</v>
      </c>
      <c r="AC7" s="714">
        <v>317</v>
      </c>
      <c r="AD7" s="714">
        <v>369</v>
      </c>
      <c r="AE7" s="714"/>
      <c r="AF7" s="676"/>
      <c r="AG7" s="676"/>
    </row>
    <row r="8" spans="1:33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K32+M32-F32+Q2*Q4</f>
        <v>4881.4900000000434</v>
      </c>
      <c r="Z8" s="712" t="s">
        <v>712</v>
      </c>
      <c r="AA8" s="714">
        <v>2.2999999999999998</v>
      </c>
      <c r="AB8" s="714">
        <v>2.2000000000000002</v>
      </c>
      <c r="AC8" s="714">
        <v>2.2999999999999998</v>
      </c>
      <c r="AD8" s="714">
        <v>1.9</v>
      </c>
      <c r="AE8" s="714">
        <v>2.1</v>
      </c>
      <c r="AF8" s="676"/>
      <c r="AG8" s="676"/>
    </row>
    <row r="9" spans="1:33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207</v>
      </c>
      <c r="Q9" s="134">
        <f>IF(Q2=0, 0, Q8/Q6)</f>
        <v>0.69433338027188407</v>
      </c>
      <c r="Z9" s="712" t="s">
        <v>713</v>
      </c>
      <c r="AA9" s="714">
        <v>2.6</v>
      </c>
      <c r="AB9" s="714">
        <v>2.5</v>
      </c>
      <c r="AC9" s="714">
        <v>2.6</v>
      </c>
      <c r="AD9" s="714">
        <v>2.2000000000000002</v>
      </c>
      <c r="AE9" s="714">
        <v>2.4</v>
      </c>
      <c r="AF9" s="676"/>
      <c r="AG9" s="676"/>
    </row>
    <row r="10" spans="1:33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206</v>
      </c>
      <c r="P10" s="33"/>
      <c r="Q10" s="2">
        <f>M159</f>
        <v>1452.2599999999984</v>
      </c>
      <c r="U10" s="1">
        <v>43227</v>
      </c>
      <c r="V10" t="s">
        <v>82</v>
      </c>
      <c r="Z10" s="712" t="s">
        <v>729</v>
      </c>
      <c r="AA10" s="714">
        <v>2.6</v>
      </c>
      <c r="AB10" s="728">
        <v>2.1</v>
      </c>
      <c r="AC10" s="728">
        <v>2.5</v>
      </c>
      <c r="AD10" s="828">
        <v>1.9</v>
      </c>
      <c r="AE10" s="828"/>
      <c r="AF10" s="676"/>
      <c r="AG10" s="676"/>
    </row>
    <row r="11" spans="1:33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29" si="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3.3579696372385403E-3</v>
      </c>
      <c r="R11">
        <f>0.025</f>
        <v>2.5000000000000001E-2</v>
      </c>
      <c r="V11" t="s">
        <v>1056</v>
      </c>
      <c r="Z11" s="676"/>
      <c r="AA11" s="714"/>
      <c r="AB11" s="676"/>
      <c r="AC11" s="676"/>
      <c r="AD11" s="676"/>
      <c r="AE11" s="676"/>
      <c r="AF11" s="676"/>
      <c r="AG11" s="676"/>
    </row>
    <row r="12" spans="1:33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938</v>
      </c>
      <c r="Q12" s="1" t="s">
        <v>1224</v>
      </c>
      <c r="Z12" s="712" t="s">
        <v>707</v>
      </c>
      <c r="AA12" s="714"/>
      <c r="AB12" s="719">
        <v>7.0000000000000007E-2</v>
      </c>
      <c r="AC12" s="719" t="s">
        <v>751</v>
      </c>
      <c r="AD12" s="732" t="s">
        <v>928</v>
      </c>
      <c r="AE12" s="831" t="s">
        <v>929</v>
      </c>
      <c r="AF12" s="676"/>
      <c r="AG12" s="676"/>
    </row>
    <row r="13" spans="1:33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965</v>
      </c>
      <c r="Q13" s="2">
        <f>Q4/(1.4)</f>
        <v>21.271357142857145</v>
      </c>
      <c r="U13" s="1">
        <v>43234</v>
      </c>
      <c r="V13" t="s">
        <v>1103</v>
      </c>
      <c r="Z13" s="712" t="s">
        <v>714</v>
      </c>
      <c r="AA13" s="714"/>
      <c r="AB13" s="719">
        <v>0.09</v>
      </c>
      <c r="AC13" s="719"/>
      <c r="AD13" s="732" t="s">
        <v>929</v>
      </c>
      <c r="AE13" s="831" t="s">
        <v>1058</v>
      </c>
      <c r="AF13" s="676"/>
      <c r="AG13" s="676"/>
    </row>
    <row r="14" spans="1:33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1102</v>
      </c>
      <c r="Q14" s="736">
        <v>0.20250000000000001</v>
      </c>
      <c r="V14" t="s">
        <v>1104</v>
      </c>
      <c r="Z14" s="712" t="s">
        <v>737</v>
      </c>
      <c r="AA14" s="720">
        <v>0.08</v>
      </c>
      <c r="AB14" s="830">
        <f>AB17/AB22</f>
        <v>8.3854818523153948E-2</v>
      </c>
      <c r="AC14" s="729">
        <f>AC17/AC22</f>
        <v>0.13300000000000001</v>
      </c>
      <c r="AD14" s="729">
        <f>AD17/AD22</f>
        <v>6.5819861431870672E-2</v>
      </c>
      <c r="AE14" s="729"/>
      <c r="AF14" s="676"/>
      <c r="AG14" s="676"/>
    </row>
    <row r="15" spans="1:33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712" t="s">
        <v>708</v>
      </c>
      <c r="AA15" s="714"/>
      <c r="AB15" s="676"/>
      <c r="AC15" s="676"/>
      <c r="AD15" s="676"/>
      <c r="AE15" s="676"/>
      <c r="AF15" s="676"/>
      <c r="AG15" s="676"/>
    </row>
    <row r="16" spans="1:33" ht="20.25" thickBot="1" x14ac:dyDescent="0.35">
      <c r="A16" t="s">
        <v>774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O16" s="857" t="s">
        <v>78</v>
      </c>
      <c r="P16" s="857"/>
      <c r="Z16" s="712" t="s">
        <v>709</v>
      </c>
      <c r="AA16" s="714"/>
      <c r="AB16" s="676"/>
      <c r="AC16" s="676"/>
      <c r="AD16" s="676"/>
      <c r="AE16" s="676"/>
      <c r="AF16" s="676"/>
      <c r="AG16" s="676"/>
    </row>
    <row r="17" spans="1:33" ht="15.75" thickTop="1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O17" s="81">
        <v>1.1000000000000001</v>
      </c>
      <c r="P17" s="81">
        <f>O17*$Q$4</f>
        <v>32.757890000000003</v>
      </c>
      <c r="U17" s="1">
        <v>43270</v>
      </c>
      <c r="V17" t="s">
        <v>1182</v>
      </c>
      <c r="Z17" s="712" t="s">
        <v>923</v>
      </c>
      <c r="AA17" s="714">
        <v>76</v>
      </c>
      <c r="AB17" s="424">
        <v>67</v>
      </c>
      <c r="AC17" s="424">
        <v>133</v>
      </c>
      <c r="AD17" s="424">
        <v>57</v>
      </c>
      <c r="AE17" s="424"/>
      <c r="AF17" s="676"/>
      <c r="AG17" s="676"/>
    </row>
    <row r="18" spans="1:33" x14ac:dyDescent="0.25">
      <c r="B18" s="47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1">
        <v>1.0900000000000001</v>
      </c>
      <c r="P18" s="81">
        <f t="shared" ref="P18:P37" si="3">O18*$Q$4</f>
        <v>32.460091000000006</v>
      </c>
      <c r="V18" t="s">
        <v>1183</v>
      </c>
      <c r="Z18" s="676"/>
      <c r="AA18" s="714"/>
      <c r="AB18" s="676"/>
      <c r="AC18" s="676"/>
      <c r="AD18" s="676"/>
      <c r="AE18" s="676"/>
      <c r="AF18" s="676"/>
      <c r="AG18" s="676"/>
    </row>
    <row r="19" spans="1:33" x14ac:dyDescent="0.25">
      <c r="A19" t="s">
        <v>774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845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1.08</v>
      </c>
      <c r="P19" s="81">
        <f t="shared" si="3"/>
        <v>32.162292000000001</v>
      </c>
      <c r="Z19" s="712" t="s">
        <v>719</v>
      </c>
      <c r="AA19" s="717" t="s">
        <v>722</v>
      </c>
      <c r="AB19" s="712" t="s">
        <v>722</v>
      </c>
      <c r="AC19" s="712" t="s">
        <v>722</v>
      </c>
      <c r="AD19" s="712"/>
      <c r="AE19" s="712"/>
      <c r="AF19" s="676"/>
      <c r="AG19" s="676"/>
    </row>
    <row r="20" spans="1:33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1.07</v>
      </c>
      <c r="P20" s="81">
        <f t="shared" si="3"/>
        <v>31.864493000000003</v>
      </c>
      <c r="U20" s="156">
        <v>43313</v>
      </c>
      <c r="V20" t="s">
        <v>1181</v>
      </c>
      <c r="Z20" s="712" t="s">
        <v>720</v>
      </c>
      <c r="AA20" s="719">
        <v>0.84</v>
      </c>
      <c r="AB20" s="729">
        <v>0.8</v>
      </c>
      <c r="AC20" s="729">
        <v>0.79</v>
      </c>
      <c r="AD20" s="729"/>
      <c r="AE20" s="729"/>
      <c r="AF20" s="676"/>
      <c r="AG20" s="676"/>
    </row>
    <row r="21" spans="1:33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1.06</v>
      </c>
      <c r="P21" s="81">
        <f t="shared" si="3"/>
        <v>31.566694000000002</v>
      </c>
      <c r="Z21" s="712" t="s">
        <v>739</v>
      </c>
      <c r="AA21" s="719">
        <v>0.82</v>
      </c>
      <c r="AB21" s="719">
        <v>0.84</v>
      </c>
      <c r="AC21" s="719">
        <v>0.84</v>
      </c>
      <c r="AD21" s="719"/>
      <c r="AE21" s="719"/>
      <c r="AF21" s="676"/>
      <c r="AG21" s="676"/>
    </row>
    <row r="22" spans="1:33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1.05</v>
      </c>
      <c r="P22" s="81">
        <f t="shared" si="3"/>
        <v>31.268895000000004</v>
      </c>
      <c r="U22" s="1">
        <v>43318</v>
      </c>
      <c r="V22" t="s">
        <v>869</v>
      </c>
      <c r="Z22" s="718" t="s">
        <v>736</v>
      </c>
      <c r="AA22" s="714">
        <v>975</v>
      </c>
      <c r="AB22" s="424">
        <v>799</v>
      </c>
      <c r="AC22" s="424">
        <v>1000</v>
      </c>
      <c r="AD22" s="424">
        <v>866</v>
      </c>
      <c r="AE22" s="424"/>
      <c r="AF22" s="676"/>
      <c r="AG22" s="676"/>
    </row>
    <row r="23" spans="1:33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7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1.04</v>
      </c>
      <c r="P23" s="81">
        <f t="shared" si="3"/>
        <v>30.971096000000003</v>
      </c>
      <c r="Z23" s="676"/>
      <c r="AA23" s="714"/>
      <c r="AB23" s="676"/>
      <c r="AC23" s="676"/>
      <c r="AD23" s="676"/>
      <c r="AE23" s="676"/>
      <c r="AF23" s="676"/>
      <c r="AG23" s="676"/>
    </row>
    <row r="24" spans="1:33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7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1.03</v>
      </c>
      <c r="P24" s="81">
        <f t="shared" si="3"/>
        <v>30.673297000000002</v>
      </c>
      <c r="Z24" s="709" t="s">
        <v>703</v>
      </c>
      <c r="AA24" s="714"/>
      <c r="AB24" s="676"/>
      <c r="AC24" s="676"/>
      <c r="AD24" s="676"/>
      <c r="AE24" s="676"/>
      <c r="AF24" s="676"/>
      <c r="AG24" s="676"/>
    </row>
    <row r="25" spans="1:33" x14ac:dyDescent="0.25">
      <c r="B25" s="47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29"/>
      <c r="O25" s="81">
        <v>1.02</v>
      </c>
      <c r="P25" s="81">
        <f t="shared" si="3"/>
        <v>30.375498</v>
      </c>
      <c r="Z25" s="710" t="s">
        <v>715</v>
      </c>
      <c r="AA25" s="714">
        <v>170</v>
      </c>
      <c r="AB25" s="714">
        <v>165</v>
      </c>
      <c r="AC25" s="714">
        <v>175</v>
      </c>
      <c r="AD25" s="714"/>
      <c r="AE25" s="714"/>
      <c r="AF25" s="676"/>
      <c r="AG25" s="676"/>
    </row>
    <row r="26" spans="1:33" x14ac:dyDescent="0.25">
      <c r="B26" s="47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29"/>
      <c r="O26" s="81">
        <v>1.01</v>
      </c>
      <c r="P26" s="81">
        <f t="shared" si="3"/>
        <v>30.077699000000003</v>
      </c>
      <c r="Z26" s="711" t="s">
        <v>716</v>
      </c>
      <c r="AA26" s="714">
        <v>185</v>
      </c>
      <c r="AB26" s="714">
        <v>180</v>
      </c>
      <c r="AC26" s="714">
        <v>195</v>
      </c>
      <c r="AD26" s="714"/>
      <c r="AE26" s="714"/>
      <c r="AF26" s="676"/>
      <c r="AG26" s="676"/>
    </row>
    <row r="27" spans="1:33" x14ac:dyDescent="0.25">
      <c r="B27" s="735">
        <v>43292</v>
      </c>
      <c r="C27" s="4">
        <v>100</v>
      </c>
      <c r="D27" s="3">
        <v>28.2</v>
      </c>
      <c r="E27" s="3">
        <v>0</v>
      </c>
      <c r="F27" s="3">
        <f t="shared" si="2"/>
        <v>2820</v>
      </c>
      <c r="G27" s="29"/>
      <c r="O27" s="81">
        <v>1</v>
      </c>
      <c r="P27" s="81">
        <f t="shared" si="3"/>
        <v>29.779900000000001</v>
      </c>
      <c r="Z27" s="712" t="s">
        <v>704</v>
      </c>
      <c r="AA27" s="714">
        <v>179</v>
      </c>
      <c r="AB27" s="728">
        <v>182</v>
      </c>
      <c r="AC27" s="728">
        <v>188</v>
      </c>
      <c r="AD27" s="728">
        <v>239</v>
      </c>
      <c r="AE27" s="728"/>
      <c r="AF27" s="676"/>
      <c r="AG27" s="676"/>
    </row>
    <row r="28" spans="1:33" x14ac:dyDescent="0.25">
      <c r="B28" s="735">
        <v>43292</v>
      </c>
      <c r="C28" s="4">
        <v>100</v>
      </c>
      <c r="D28" s="3">
        <v>27.88</v>
      </c>
      <c r="E28" s="3">
        <v>0</v>
      </c>
      <c r="F28" s="3">
        <f t="shared" si="2"/>
        <v>2788</v>
      </c>
      <c r="G28" s="29"/>
      <c r="O28" s="81">
        <v>0.99</v>
      </c>
      <c r="P28" s="81">
        <f t="shared" si="3"/>
        <v>29.482101</v>
      </c>
      <c r="Z28" s="712" t="s">
        <v>739</v>
      </c>
      <c r="AA28" s="714">
        <v>178</v>
      </c>
      <c r="AB28" s="714">
        <v>160</v>
      </c>
      <c r="AC28" s="714">
        <v>169</v>
      </c>
      <c r="AD28" s="714">
        <v>210</v>
      </c>
      <c r="AE28" s="714"/>
      <c r="AF28" s="676"/>
      <c r="AG28" s="676"/>
    </row>
    <row r="29" spans="1:33" x14ac:dyDescent="0.25">
      <c r="B29" s="735">
        <v>43306</v>
      </c>
      <c r="C29" s="4">
        <v>200</v>
      </c>
      <c r="D29" s="3">
        <v>28.65</v>
      </c>
      <c r="E29" s="3">
        <v>0</v>
      </c>
      <c r="F29" s="3">
        <f t="shared" si="2"/>
        <v>5730</v>
      </c>
      <c r="G29" s="29"/>
      <c r="O29" s="81">
        <v>0.98</v>
      </c>
      <c r="P29" s="81">
        <f t="shared" si="3"/>
        <v>29.184302000000002</v>
      </c>
      <c r="Z29" s="712" t="s">
        <v>712</v>
      </c>
      <c r="AA29" s="714">
        <v>2</v>
      </c>
      <c r="AB29" s="714">
        <v>1.9</v>
      </c>
      <c r="AC29" s="714">
        <v>1.9</v>
      </c>
      <c r="AD29" s="714">
        <v>1.7</v>
      </c>
      <c r="AE29" s="714">
        <v>2.1</v>
      </c>
      <c r="AF29" s="676"/>
      <c r="AG29" s="676"/>
    </row>
    <row r="30" spans="1:33" x14ac:dyDescent="0.25">
      <c r="B30" s="29"/>
      <c r="C30" s="4"/>
      <c r="G30" s="29"/>
      <c r="O30" s="81">
        <v>0.97</v>
      </c>
      <c r="P30" s="81">
        <f t="shared" si="3"/>
        <v>28.886503000000001</v>
      </c>
      <c r="Z30" s="712" t="s">
        <v>713</v>
      </c>
      <c r="AA30" s="714">
        <v>2.2999999999999998</v>
      </c>
      <c r="AB30" s="714">
        <v>2.2000000000000002</v>
      </c>
      <c r="AC30" s="714">
        <v>2.2000000000000002</v>
      </c>
      <c r="AD30" s="714">
        <v>2</v>
      </c>
      <c r="AE30" s="714">
        <v>2.4</v>
      </c>
      <c r="AF30" s="676"/>
      <c r="AG30" s="676"/>
    </row>
    <row r="31" spans="1:33" x14ac:dyDescent="0.25">
      <c r="B31" s="29"/>
      <c r="G31" s="29"/>
      <c r="O31" s="81">
        <v>0.96</v>
      </c>
      <c r="P31" s="81">
        <f t="shared" si="3"/>
        <v>28.588704</v>
      </c>
      <c r="Z31" s="712" t="s">
        <v>705</v>
      </c>
      <c r="AA31" s="714">
        <v>2.2000000000000002</v>
      </c>
      <c r="AB31" s="728">
        <v>2.2000000000000002</v>
      </c>
      <c r="AC31" s="728">
        <v>2.2000000000000002</v>
      </c>
      <c r="AD31" s="828">
        <v>1.7</v>
      </c>
      <c r="AE31" s="828"/>
      <c r="AF31" s="676"/>
      <c r="AG31" s="676"/>
    </row>
    <row r="32" spans="1:33" x14ac:dyDescent="0.25">
      <c r="A32" s="31" t="s">
        <v>81</v>
      </c>
      <c r="B32" s="14"/>
      <c r="C32" s="14">
        <f>SUM(C2:C30)</f>
        <v>3750</v>
      </c>
      <c r="D32" s="18"/>
      <c r="E32" s="18"/>
      <c r="F32" s="18">
        <f>SUM(F2:F30)</f>
        <v>94430.62</v>
      </c>
      <c r="G32" s="14"/>
      <c r="H32" s="14">
        <f>SUM(H2:H31)</f>
        <v>3350</v>
      </c>
      <c r="I32" s="18"/>
      <c r="J32" s="18"/>
      <c r="K32" s="18">
        <f>SUM(K2:K31)</f>
        <v>87115.150000000038</v>
      </c>
      <c r="L32" s="14"/>
      <c r="M32" s="18">
        <f>SUM(M2:M10)</f>
        <v>285</v>
      </c>
      <c r="O32" s="81">
        <v>0.95</v>
      </c>
      <c r="P32" s="81">
        <f t="shared" si="3"/>
        <v>28.290904999999999</v>
      </c>
      <c r="Z32" s="676"/>
      <c r="AA32" s="714"/>
      <c r="AB32" s="676"/>
      <c r="AC32" s="676"/>
      <c r="AD32" s="676"/>
      <c r="AE32" s="676"/>
      <c r="AF32" s="676"/>
      <c r="AG32" s="676"/>
    </row>
    <row r="33" spans="1:33" ht="15.75" thickBot="1" x14ac:dyDescent="0.3">
      <c r="A33" s="341" t="s">
        <v>193</v>
      </c>
      <c r="B33" s="342"/>
      <c r="C33" s="343">
        <f>SumByColor($A$33,C2:C31)</f>
        <v>3350</v>
      </c>
      <c r="D33" s="343"/>
      <c r="E33" s="343"/>
      <c r="F33" s="344">
        <f>SumByColor($A$33,F2:F31)</f>
        <v>83093</v>
      </c>
      <c r="G33" s="343"/>
      <c r="H33" s="343">
        <f>SumByColor($A$33,H2:H31)</f>
        <v>3350</v>
      </c>
      <c r="I33" s="343"/>
      <c r="J33" s="343"/>
      <c r="K33" s="344">
        <f>SumByColor($A$33,K2:K31)</f>
        <v>87117</v>
      </c>
      <c r="L33" s="343"/>
      <c r="M33" s="344">
        <f>SumByColor($A$33,M2:M31)</f>
        <v>286</v>
      </c>
      <c r="O33" s="81">
        <v>0.94</v>
      </c>
      <c r="P33" s="81">
        <f t="shared" si="3"/>
        <v>27.993106000000001</v>
      </c>
      <c r="Z33" s="712" t="s">
        <v>707</v>
      </c>
      <c r="AA33" s="714"/>
      <c r="AB33" s="719">
        <v>0.15</v>
      </c>
      <c r="AC33" s="732" t="s">
        <v>752</v>
      </c>
      <c r="AD33" s="732" t="s">
        <v>926</v>
      </c>
      <c r="AE33" s="732" t="s">
        <v>926</v>
      </c>
      <c r="AF33" s="676"/>
      <c r="AG33" s="676"/>
    </row>
    <row r="34" spans="1:33" x14ac:dyDescent="0.25">
      <c r="O34" s="81">
        <v>0.93</v>
      </c>
      <c r="P34" s="81">
        <f t="shared" si="3"/>
        <v>27.695307000000003</v>
      </c>
      <c r="Z34" s="712" t="s">
        <v>714</v>
      </c>
      <c r="AA34" s="714"/>
      <c r="AB34" s="719">
        <v>0.18</v>
      </c>
      <c r="AC34" s="719"/>
      <c r="AD34" s="732" t="s">
        <v>927</v>
      </c>
      <c r="AE34" s="732" t="s">
        <v>927</v>
      </c>
      <c r="AF34" s="676"/>
      <c r="AG34" s="676"/>
    </row>
    <row r="35" spans="1:33" x14ac:dyDescent="0.25">
      <c r="O35" s="81">
        <v>0.92</v>
      </c>
      <c r="P35" s="81">
        <f t="shared" si="3"/>
        <v>27.397508000000002</v>
      </c>
      <c r="Z35" s="712" t="s">
        <v>737</v>
      </c>
      <c r="AA35" s="719">
        <v>0.23</v>
      </c>
      <c r="AB35" s="729">
        <f>AB38/AB42</f>
        <v>0.20886075949367089</v>
      </c>
      <c r="AC35" s="729">
        <f>AC38/AC42</f>
        <v>0.22983870967741934</v>
      </c>
      <c r="AD35" s="729">
        <f>AD38/AD42</f>
        <v>0.15841584158415842</v>
      </c>
      <c r="AE35" s="729"/>
      <c r="AF35" s="676"/>
      <c r="AG35" s="676"/>
    </row>
    <row r="36" spans="1:33" x14ac:dyDescent="0.25">
      <c r="B36" s="484" t="s">
        <v>113</v>
      </c>
      <c r="C36" s="484" t="s">
        <v>146</v>
      </c>
      <c r="D36" s="485" t="s">
        <v>145</v>
      </c>
      <c r="E36" s="486" t="s">
        <v>147</v>
      </c>
      <c r="F36" s="486" t="s">
        <v>65</v>
      </c>
      <c r="G36" s="488" t="s">
        <v>151</v>
      </c>
      <c r="H36" s="488" t="s">
        <v>88</v>
      </c>
      <c r="I36" s="488" t="s">
        <v>154</v>
      </c>
      <c r="J36" s="488" t="s">
        <v>494</v>
      </c>
      <c r="K36" s="488" t="s">
        <v>150</v>
      </c>
      <c r="L36" s="488" t="s">
        <v>965</v>
      </c>
      <c r="O36" s="81">
        <v>0.91</v>
      </c>
      <c r="P36" s="81">
        <f t="shared" si="3"/>
        <v>27.099709000000001</v>
      </c>
      <c r="Z36" s="712" t="s">
        <v>708</v>
      </c>
      <c r="AA36" s="714"/>
      <c r="AB36" s="676"/>
      <c r="AC36" s="676"/>
      <c r="AD36" s="676"/>
      <c r="AE36" s="676"/>
      <c r="AF36" s="676"/>
      <c r="AG36" s="676"/>
    </row>
    <row r="37" spans="1:33" x14ac:dyDescent="0.25">
      <c r="B37" s="522">
        <v>42754</v>
      </c>
      <c r="C37" s="526">
        <v>100</v>
      </c>
      <c r="D37" s="527">
        <v>27.58</v>
      </c>
      <c r="E37" s="527">
        <v>30.25</v>
      </c>
      <c r="F37" s="527">
        <f t="shared" ref="F37:F42" si="4">C37*(E37-D37)</f>
        <v>267.00000000000017</v>
      </c>
      <c r="G37" s="527">
        <f t="shared" ref="G37:G42" si="5">D37*C37</f>
        <v>2758</v>
      </c>
      <c r="H37" s="568">
        <f t="shared" ref="H37:H42" si="6">(E37-D37)/D37</f>
        <v>9.6809282088469978E-2</v>
      </c>
      <c r="I37" s="527"/>
      <c r="J37" s="527"/>
      <c r="K37" s="527"/>
      <c r="L37" s="527"/>
      <c r="O37" s="81">
        <v>0.9</v>
      </c>
      <c r="P37" s="81">
        <f t="shared" si="3"/>
        <v>26.801910000000003</v>
      </c>
      <c r="Z37" s="712" t="s">
        <v>709</v>
      </c>
      <c r="AA37" s="714"/>
      <c r="AB37" s="676"/>
      <c r="AC37" s="676"/>
      <c r="AD37" s="676"/>
      <c r="AE37" s="676"/>
      <c r="AF37" s="676"/>
      <c r="AG37" s="676"/>
    </row>
    <row r="38" spans="1:33" x14ac:dyDescent="0.25">
      <c r="B38" s="522">
        <v>42758</v>
      </c>
      <c r="C38" s="526">
        <v>100</v>
      </c>
      <c r="D38" s="527">
        <v>27.180700000000002</v>
      </c>
      <c r="E38" s="527">
        <v>31.55</v>
      </c>
      <c r="F38" s="527">
        <f t="shared" si="4"/>
        <v>436.92999999999989</v>
      </c>
      <c r="G38" s="527">
        <f t="shared" si="5"/>
        <v>2718.07</v>
      </c>
      <c r="H38" s="568">
        <f t="shared" si="6"/>
        <v>0.16075009105725749</v>
      </c>
      <c r="I38" s="527"/>
      <c r="J38" s="527"/>
      <c r="K38" s="527"/>
      <c r="L38" s="527"/>
      <c r="Z38" s="712" t="s">
        <v>738</v>
      </c>
      <c r="AA38" s="714">
        <v>110</v>
      </c>
      <c r="AB38" s="424">
        <v>99</v>
      </c>
      <c r="AC38" s="424">
        <v>114</v>
      </c>
      <c r="AD38" s="424">
        <v>64</v>
      </c>
      <c r="AE38" s="424"/>
      <c r="AF38" s="676"/>
      <c r="AG38" s="676"/>
    </row>
    <row r="39" spans="1:33" x14ac:dyDescent="0.25">
      <c r="A39" t="s">
        <v>345</v>
      </c>
      <c r="B39" s="184">
        <v>42758</v>
      </c>
      <c r="C39" s="10">
        <v>100</v>
      </c>
      <c r="D39" s="39">
        <v>31.18</v>
      </c>
      <c r="E39" s="39">
        <v>31.55</v>
      </c>
      <c r="F39" s="39">
        <f t="shared" si="4"/>
        <v>37.000000000000099</v>
      </c>
      <c r="G39" s="39">
        <f t="shared" si="5"/>
        <v>3118</v>
      </c>
      <c r="H39" s="222">
        <f t="shared" si="6"/>
        <v>1.1866581141757569E-2</v>
      </c>
      <c r="I39" s="39"/>
      <c r="J39" s="39"/>
      <c r="K39" s="39"/>
      <c r="L39" s="39"/>
      <c r="Z39" s="712" t="s">
        <v>719</v>
      </c>
      <c r="AA39" s="717" t="s">
        <v>730</v>
      </c>
      <c r="AB39" s="712" t="s">
        <v>722</v>
      </c>
      <c r="AC39" s="712" t="s">
        <v>753</v>
      </c>
      <c r="AD39" s="712"/>
      <c r="AE39" s="712"/>
      <c r="AF39" s="676"/>
      <c r="AG39" s="676"/>
    </row>
    <row r="40" spans="1:33" x14ac:dyDescent="0.25">
      <c r="A40" t="s">
        <v>345</v>
      </c>
      <c r="B40" s="184">
        <v>42760</v>
      </c>
      <c r="C40" s="10">
        <v>100</v>
      </c>
      <c r="D40" s="39">
        <v>31.18</v>
      </c>
      <c r="E40" s="39">
        <v>33.26</v>
      </c>
      <c r="F40" s="39">
        <f t="shared" si="4"/>
        <v>207.99999999999983</v>
      </c>
      <c r="G40" s="39">
        <f t="shared" si="5"/>
        <v>3118</v>
      </c>
      <c r="H40" s="222">
        <f t="shared" si="6"/>
        <v>6.6709429121231498E-2</v>
      </c>
      <c r="I40" s="39"/>
      <c r="J40" s="39"/>
      <c r="K40" s="39"/>
      <c r="L40" s="39"/>
      <c r="Z40" s="712" t="s">
        <v>720</v>
      </c>
      <c r="AA40" s="719">
        <v>0.93</v>
      </c>
      <c r="AB40" s="729">
        <v>0.87</v>
      </c>
      <c r="AC40" s="729">
        <v>0.87</v>
      </c>
      <c r="AD40" s="729"/>
      <c r="AE40" s="729"/>
      <c r="AF40" s="676"/>
      <c r="AG40" s="676"/>
    </row>
    <row r="41" spans="1:33" x14ac:dyDescent="0.25">
      <c r="A41" t="s">
        <v>335</v>
      </c>
      <c r="B41" s="184">
        <v>42787</v>
      </c>
      <c r="C41" s="10">
        <v>100</v>
      </c>
      <c r="D41" s="39">
        <v>31.18</v>
      </c>
      <c r="E41" s="39">
        <v>33.64</v>
      </c>
      <c r="F41" s="39">
        <f t="shared" si="4"/>
        <v>246.00000000000009</v>
      </c>
      <c r="G41" s="39">
        <f t="shared" si="5"/>
        <v>3118</v>
      </c>
      <c r="H41" s="222">
        <f t="shared" si="6"/>
        <v>7.8896728672225816E-2</v>
      </c>
      <c r="I41" s="39"/>
      <c r="J41" s="39"/>
      <c r="K41" s="39"/>
      <c r="L41" s="39"/>
      <c r="Q41" s="2"/>
      <c r="Z41" s="676"/>
      <c r="AA41" s="714"/>
      <c r="AB41" s="676"/>
      <c r="AC41" s="676"/>
      <c r="AD41" s="676"/>
      <c r="AE41" s="676"/>
      <c r="AF41" s="676"/>
      <c r="AG41" s="676"/>
    </row>
    <row r="42" spans="1:33" x14ac:dyDescent="0.25">
      <c r="A42">
        <v>100</v>
      </c>
      <c r="B42" s="184">
        <v>42808</v>
      </c>
      <c r="C42" s="228">
        <v>200</v>
      </c>
      <c r="D42" s="229">
        <v>29.83</v>
      </c>
      <c r="E42" s="39">
        <v>28.6</v>
      </c>
      <c r="F42" s="39">
        <f t="shared" si="4"/>
        <v>-245.99999999999937</v>
      </c>
      <c r="G42" s="39">
        <f t="shared" si="5"/>
        <v>5966</v>
      </c>
      <c r="H42" s="222">
        <f t="shared" si="6"/>
        <v>-4.1233657391887259E-2</v>
      </c>
      <c r="I42" s="39"/>
      <c r="J42" s="39">
        <v>30.72</v>
      </c>
      <c r="K42" s="39">
        <v>1207</v>
      </c>
      <c r="L42" s="39"/>
      <c r="Q42" s="2"/>
      <c r="Z42" s="718" t="s">
        <v>736</v>
      </c>
      <c r="AA42" s="714">
        <v>468</v>
      </c>
      <c r="AB42" s="424">
        <v>474</v>
      </c>
      <c r="AC42" s="424">
        <v>496</v>
      </c>
      <c r="AD42" s="424">
        <v>404</v>
      </c>
      <c r="AE42" s="424"/>
      <c r="AF42" s="676"/>
      <c r="AG42" s="676"/>
    </row>
    <row r="43" spans="1:33" x14ac:dyDescent="0.25">
      <c r="A43">
        <v>0</v>
      </c>
      <c r="B43" s="184">
        <v>42809</v>
      </c>
      <c r="C43" s="10">
        <v>100</v>
      </c>
      <c r="D43" s="39">
        <v>30.750599999999999</v>
      </c>
      <c r="E43" s="39">
        <v>29.14</v>
      </c>
      <c r="F43" s="39">
        <f>C43*(E43-D43)</f>
        <v>-161.0599999999998</v>
      </c>
      <c r="G43" s="39">
        <f>D43*C43</f>
        <v>3075.06</v>
      </c>
      <c r="H43" s="222">
        <f>(E43-D43)/D43</f>
        <v>-5.2376213797454295E-2</v>
      </c>
      <c r="I43" s="39"/>
      <c r="J43" s="39"/>
      <c r="K43" s="39">
        <v>1291</v>
      </c>
      <c r="L43" s="39"/>
      <c r="Q43" s="2"/>
      <c r="Z43" s="676"/>
      <c r="AA43" s="714"/>
      <c r="AB43" s="676"/>
      <c r="AC43" s="676"/>
      <c r="AD43" s="676"/>
      <c r="AE43" s="676"/>
      <c r="AF43" s="676"/>
      <c r="AG43" s="676"/>
    </row>
    <row r="44" spans="1:33" x14ac:dyDescent="0.25">
      <c r="A44">
        <v>0</v>
      </c>
      <c r="B44" s="184">
        <v>42811</v>
      </c>
      <c r="C44" s="10">
        <v>100</v>
      </c>
      <c r="D44" s="39">
        <v>30.4756</v>
      </c>
      <c r="E44" s="39">
        <v>29.17</v>
      </c>
      <c r="F44" s="39">
        <f t="shared" ref="F44:F57" si="7">C44*(E44-D44)</f>
        <v>-130.55999999999983</v>
      </c>
      <c r="G44" s="39">
        <f t="shared" ref="G44:G57" si="8">D44*C44</f>
        <v>3047.56</v>
      </c>
      <c r="H44" s="222">
        <f t="shared" ref="H44:H57" si="9">(E44-D44)/D44</f>
        <v>-4.2840830041081988E-2</v>
      </c>
      <c r="I44" s="39"/>
      <c r="J44" s="39">
        <v>30</v>
      </c>
      <c r="K44" s="39">
        <v>1321</v>
      </c>
      <c r="L44" s="39"/>
      <c r="Q44" s="2"/>
      <c r="Z44" s="709" t="s">
        <v>1059</v>
      </c>
      <c r="AA44" s="714"/>
      <c r="AB44" s="676"/>
      <c r="AC44" s="676"/>
      <c r="AD44" s="676"/>
      <c r="AE44" s="676"/>
      <c r="AF44" s="676"/>
      <c r="AG44" s="676"/>
    </row>
    <row r="45" spans="1:33" x14ac:dyDescent="0.25">
      <c r="A45">
        <v>0</v>
      </c>
      <c r="B45" s="184">
        <v>42836</v>
      </c>
      <c r="C45" s="228">
        <v>200</v>
      </c>
      <c r="D45" s="229">
        <v>29.412800000000001</v>
      </c>
      <c r="E45" s="39">
        <v>28.69</v>
      </c>
      <c r="F45" s="39">
        <f t="shared" si="7"/>
        <v>-144.55999999999989</v>
      </c>
      <c r="G45" s="39">
        <f t="shared" si="8"/>
        <v>5882.56</v>
      </c>
      <c r="H45" s="222">
        <f t="shared" si="9"/>
        <v>-2.4574334983408566E-2</v>
      </c>
      <c r="I45" s="39">
        <v>29</v>
      </c>
      <c r="J45" s="39"/>
      <c r="K45" s="39">
        <v>1308</v>
      </c>
      <c r="L45" s="39"/>
      <c r="Q45" s="2"/>
      <c r="Z45" s="712" t="s">
        <v>712</v>
      </c>
      <c r="AA45" s="714">
        <v>1.4</v>
      </c>
      <c r="AB45" s="714">
        <v>2.2999999999999998</v>
      </c>
      <c r="AC45" s="714">
        <v>1.5</v>
      </c>
      <c r="AD45" s="714">
        <v>1.3</v>
      </c>
      <c r="AE45" s="714">
        <v>2</v>
      </c>
      <c r="AF45" s="676"/>
      <c r="AG45" s="676"/>
    </row>
    <row r="46" spans="1:33" x14ac:dyDescent="0.25">
      <c r="A46">
        <v>100</v>
      </c>
      <c r="B46" s="184">
        <v>42857</v>
      </c>
      <c r="C46" s="10">
        <v>300</v>
      </c>
      <c r="D46" s="39">
        <v>27.9452</v>
      </c>
      <c r="E46" s="39">
        <v>24.95</v>
      </c>
      <c r="F46" s="39">
        <f t="shared" si="7"/>
        <v>-898.56000000000017</v>
      </c>
      <c r="G46" s="39">
        <f t="shared" si="8"/>
        <v>8383.56</v>
      </c>
      <c r="H46" s="222">
        <f t="shared" si="9"/>
        <v>-0.10718119748650932</v>
      </c>
      <c r="I46" s="39"/>
      <c r="J46" s="39"/>
      <c r="K46" s="39">
        <v>554</v>
      </c>
      <c r="L46" s="39"/>
      <c r="Q46" s="2"/>
      <c r="Z46" s="712" t="s">
        <v>713</v>
      </c>
      <c r="AA46" s="714">
        <v>1.7</v>
      </c>
      <c r="AB46" s="714">
        <v>2.6</v>
      </c>
      <c r="AC46" s="714">
        <v>1.8</v>
      </c>
      <c r="AD46" s="714">
        <v>1.6</v>
      </c>
      <c r="AE46" s="714">
        <v>2.2999999999999998</v>
      </c>
      <c r="AF46" s="676"/>
      <c r="AG46" s="676"/>
    </row>
    <row r="47" spans="1:33" x14ac:dyDescent="0.25">
      <c r="A47">
        <v>100</v>
      </c>
      <c r="B47" s="184">
        <v>42858</v>
      </c>
      <c r="C47" s="7">
        <v>400</v>
      </c>
      <c r="D47" s="43">
        <v>26.953900000000001</v>
      </c>
      <c r="E47" s="39">
        <v>23.98</v>
      </c>
      <c r="F47" s="39">
        <f t="shared" si="7"/>
        <v>-1189.5600000000002</v>
      </c>
      <c r="G47" s="39">
        <f t="shared" si="8"/>
        <v>10781.56</v>
      </c>
      <c r="H47" s="222">
        <f t="shared" si="9"/>
        <v>-0.11033282753145186</v>
      </c>
      <c r="I47" s="39"/>
      <c r="J47" s="39"/>
      <c r="K47" s="39"/>
      <c r="L47" s="39"/>
      <c r="Q47" s="2"/>
      <c r="Z47" s="712" t="s">
        <v>705</v>
      </c>
      <c r="AA47" s="714">
        <v>1.6</v>
      </c>
      <c r="AB47" s="728">
        <v>2.5</v>
      </c>
      <c r="AC47" s="728">
        <v>1.9</v>
      </c>
      <c r="AD47" s="829">
        <v>1.6</v>
      </c>
      <c r="AE47" s="829"/>
      <c r="AF47" s="676"/>
      <c r="AG47" s="676"/>
    </row>
    <row r="48" spans="1:33" x14ac:dyDescent="0.25">
      <c r="A48">
        <v>100</v>
      </c>
      <c r="B48" s="184">
        <v>42862</v>
      </c>
      <c r="C48" s="10">
        <v>400</v>
      </c>
      <c r="D48" s="39">
        <v>26.953900000000001</v>
      </c>
      <c r="E48" s="39">
        <v>23.45</v>
      </c>
      <c r="F48" s="39">
        <f t="shared" si="7"/>
        <v>-1401.5600000000006</v>
      </c>
      <c r="G48" s="39">
        <f t="shared" si="8"/>
        <v>10781.56</v>
      </c>
      <c r="H48" s="222">
        <f t="shared" si="9"/>
        <v>-0.12999603025907203</v>
      </c>
      <c r="I48" s="39"/>
      <c r="J48" s="39"/>
      <c r="K48" s="39">
        <v>50</v>
      </c>
      <c r="L48" s="39"/>
      <c r="Q48" s="2"/>
      <c r="Z48" s="676"/>
      <c r="AA48" s="714"/>
      <c r="AB48" s="676"/>
      <c r="AC48" s="676"/>
      <c r="AD48" s="676"/>
      <c r="AE48" s="676"/>
      <c r="AF48" s="676"/>
      <c r="AG48" s="676"/>
    </row>
    <row r="49" spans="1:33" x14ac:dyDescent="0.25">
      <c r="A49">
        <v>200</v>
      </c>
      <c r="B49" s="184">
        <v>42867</v>
      </c>
      <c r="C49" s="10">
        <v>600</v>
      </c>
      <c r="D49" s="39">
        <v>25.63</v>
      </c>
      <c r="E49" s="39">
        <v>22.91</v>
      </c>
      <c r="F49" s="39">
        <f t="shared" si="7"/>
        <v>-1631.9999999999993</v>
      </c>
      <c r="G49" s="39">
        <f t="shared" si="8"/>
        <v>15378</v>
      </c>
      <c r="H49" s="222">
        <f t="shared" si="9"/>
        <v>-0.10612563402262969</v>
      </c>
      <c r="I49" s="39"/>
      <c r="J49" s="39"/>
      <c r="K49" s="39">
        <v>-179</v>
      </c>
      <c r="L49" s="39"/>
      <c r="Q49" s="2"/>
      <c r="Z49" s="712" t="s">
        <v>710</v>
      </c>
      <c r="AA49" s="714">
        <v>20</v>
      </c>
      <c r="AB49" s="712" t="s">
        <v>744</v>
      </c>
      <c r="AC49" s="717">
        <v>20</v>
      </c>
      <c r="AD49" s="717">
        <v>25</v>
      </c>
      <c r="AE49" s="717">
        <v>20</v>
      </c>
      <c r="AF49" s="676"/>
      <c r="AG49" s="676"/>
    </row>
    <row r="50" spans="1:33" x14ac:dyDescent="0.25">
      <c r="B50" s="184">
        <v>42898</v>
      </c>
      <c r="C50" s="10">
        <v>400</v>
      </c>
      <c r="D50" s="39">
        <v>26.354199999999999</v>
      </c>
      <c r="E50" s="39">
        <v>23.55</v>
      </c>
      <c r="F50" s="39">
        <f t="shared" si="7"/>
        <v>-1121.6799999999992</v>
      </c>
      <c r="G50" s="39">
        <f t="shared" si="8"/>
        <v>10541.68</v>
      </c>
      <c r="H50" s="222">
        <f t="shared" si="9"/>
        <v>-0.1064042922949662</v>
      </c>
      <c r="I50" s="39"/>
      <c r="J50" s="39"/>
      <c r="K50" s="39">
        <v>331</v>
      </c>
      <c r="L50" s="39"/>
      <c r="Q50" s="2"/>
      <c r="Z50" s="712" t="s">
        <v>717</v>
      </c>
      <c r="AA50" s="714"/>
      <c r="AB50" s="676"/>
      <c r="AC50" s="676"/>
      <c r="AD50" s="717">
        <v>35</v>
      </c>
      <c r="AE50" s="717">
        <v>30</v>
      </c>
      <c r="AF50" s="676"/>
      <c r="AG50" s="676"/>
    </row>
    <row r="51" spans="1:33" x14ac:dyDescent="0.25">
      <c r="A51">
        <v>400</v>
      </c>
      <c r="B51" s="184">
        <v>42900</v>
      </c>
      <c r="C51" s="10">
        <v>600</v>
      </c>
      <c r="D51" s="39">
        <v>25.296099999999999</v>
      </c>
      <c r="E51" s="39">
        <v>22.74</v>
      </c>
      <c r="F51" s="39">
        <f t="shared" si="7"/>
        <v>-1533.6600000000003</v>
      </c>
      <c r="G51" s="39">
        <f t="shared" si="8"/>
        <v>15177.66</v>
      </c>
      <c r="H51" s="222">
        <f t="shared" si="9"/>
        <v>-0.10104719699874687</v>
      </c>
      <c r="I51" s="39"/>
      <c r="J51" s="39"/>
      <c r="K51" s="39">
        <v>-81.41</v>
      </c>
      <c r="L51" s="39"/>
      <c r="Q51" s="2"/>
      <c r="Z51" s="712" t="s">
        <v>740</v>
      </c>
      <c r="AA51" s="714">
        <v>24</v>
      </c>
      <c r="AB51" s="728">
        <v>25</v>
      </c>
      <c r="AC51" s="728">
        <v>24</v>
      </c>
      <c r="AD51" s="728">
        <v>37</v>
      </c>
      <c r="AE51" s="728"/>
      <c r="AF51" s="676"/>
      <c r="AG51" s="676"/>
    </row>
    <row r="52" spans="1:33" x14ac:dyDescent="0.25">
      <c r="A52">
        <v>400</v>
      </c>
      <c r="B52" s="184">
        <v>42904</v>
      </c>
      <c r="C52" s="10">
        <v>600</v>
      </c>
      <c r="D52" s="39">
        <v>25.146100000000001</v>
      </c>
      <c r="E52" s="39">
        <v>22.71</v>
      </c>
      <c r="F52" s="39">
        <f t="shared" si="7"/>
        <v>-1461.6599999999999</v>
      </c>
      <c r="G52" s="39">
        <f t="shared" si="8"/>
        <v>15087.66</v>
      </c>
      <c r="H52" s="222">
        <f t="shared" si="9"/>
        <v>-9.6877845868743054E-2</v>
      </c>
      <c r="I52" s="39"/>
      <c r="J52" s="39"/>
      <c r="K52" s="39">
        <v>-9.41</v>
      </c>
      <c r="L52" s="39"/>
      <c r="Q52" s="2"/>
      <c r="Z52" s="709"/>
      <c r="AA52" s="715"/>
      <c r="AB52" s="676"/>
      <c r="AC52" s="676"/>
      <c r="AD52" s="676"/>
      <c r="AE52" s="676"/>
      <c r="AF52" s="676"/>
      <c r="AG52" s="676"/>
    </row>
    <row r="53" spans="1:33" x14ac:dyDescent="0.25">
      <c r="A53">
        <v>200</v>
      </c>
      <c r="B53" s="184">
        <v>42926</v>
      </c>
      <c r="C53" s="10">
        <v>400</v>
      </c>
      <c r="D53" s="39">
        <v>25.644500000000001</v>
      </c>
      <c r="E53" s="39">
        <v>24.11</v>
      </c>
      <c r="F53" s="39">
        <f t="shared" si="7"/>
        <v>-613.80000000000052</v>
      </c>
      <c r="G53" s="39">
        <f t="shared" si="8"/>
        <v>10257.800000000001</v>
      </c>
      <c r="H53" s="222">
        <f t="shared" si="9"/>
        <v>-5.9837392033379525E-2</v>
      </c>
      <c r="I53" s="39"/>
      <c r="J53" s="39"/>
      <c r="K53" s="39">
        <v>836</v>
      </c>
      <c r="L53" s="39"/>
      <c r="Q53" s="2"/>
      <c r="Z53" s="712" t="s">
        <v>738</v>
      </c>
      <c r="AA53" s="716">
        <v>39</v>
      </c>
      <c r="AB53" s="424">
        <v>64</v>
      </c>
      <c r="AC53" s="424">
        <v>45</v>
      </c>
      <c r="AD53" s="424">
        <f>AD51*AD47</f>
        <v>59.2</v>
      </c>
      <c r="AE53" s="424"/>
      <c r="AF53" s="676"/>
      <c r="AG53" s="676"/>
    </row>
    <row r="54" spans="1:33" x14ac:dyDescent="0.25">
      <c r="B54" s="184">
        <v>42940</v>
      </c>
      <c r="C54" s="10">
        <v>600</v>
      </c>
      <c r="D54" s="39">
        <v>24.86</v>
      </c>
      <c r="E54" s="39">
        <v>24.22</v>
      </c>
      <c r="F54" s="39">
        <f t="shared" si="7"/>
        <v>-384.00000000000034</v>
      </c>
      <c r="G54" s="39">
        <f t="shared" si="8"/>
        <v>14916</v>
      </c>
      <c r="H54" s="222">
        <f t="shared" si="9"/>
        <v>-2.5744167337087714E-2</v>
      </c>
      <c r="I54" s="39"/>
      <c r="J54" s="39"/>
      <c r="K54" s="39">
        <v>1066</v>
      </c>
      <c r="L54" s="39"/>
      <c r="Z54" s="712" t="s">
        <v>741</v>
      </c>
      <c r="AA54" s="721">
        <f>AA53/AA57</f>
        <v>6.6895368782161235E-2</v>
      </c>
      <c r="AB54" s="721">
        <f>AB53/AB57</f>
        <v>6.8743286788399569E-2</v>
      </c>
      <c r="AC54" s="721">
        <f>AC53/AC57</f>
        <v>6.311360448807854E-2</v>
      </c>
      <c r="AD54" s="721">
        <f>AD53/AD57</f>
        <v>8.9022556390977448E-2</v>
      </c>
      <c r="AE54" s="721"/>
      <c r="AF54" s="676"/>
      <c r="AG54" s="676"/>
    </row>
    <row r="55" spans="1:33" x14ac:dyDescent="0.25">
      <c r="A55">
        <v>200</v>
      </c>
      <c r="B55" s="184">
        <v>42941</v>
      </c>
      <c r="C55" s="7">
        <v>400</v>
      </c>
      <c r="D55" s="43">
        <v>24.794799999999999</v>
      </c>
      <c r="E55" s="39">
        <v>24.22</v>
      </c>
      <c r="F55" s="39">
        <f t="shared" si="7"/>
        <v>-229.9199999999999</v>
      </c>
      <c r="G55" s="39">
        <f t="shared" si="8"/>
        <v>9917.92</v>
      </c>
      <c r="H55" s="222">
        <f t="shared" si="9"/>
        <v>-2.3182280155516471E-2</v>
      </c>
      <c r="I55" s="39">
        <v>23</v>
      </c>
      <c r="J55" s="39"/>
      <c r="K55" s="39">
        <v>1222</v>
      </c>
      <c r="L55" s="39"/>
      <c r="Z55" s="712" t="s">
        <v>742</v>
      </c>
      <c r="AA55" s="714">
        <v>356</v>
      </c>
      <c r="AB55" s="728">
        <v>366</v>
      </c>
      <c r="AC55" s="728">
        <v>370</v>
      </c>
      <c r="AD55" s="728">
        <v>420</v>
      </c>
      <c r="AE55" s="728"/>
      <c r="AF55" s="676"/>
      <c r="AG55" s="676"/>
    </row>
    <row r="56" spans="1:33" x14ac:dyDescent="0.25">
      <c r="A56">
        <v>200</v>
      </c>
      <c r="B56" s="184">
        <v>42942</v>
      </c>
      <c r="C56" s="10">
        <v>600</v>
      </c>
      <c r="D56" s="39">
        <v>24.623000000000001</v>
      </c>
      <c r="E56" s="39">
        <v>23.6</v>
      </c>
      <c r="F56" s="39">
        <f t="shared" si="7"/>
        <v>-613.79999999999984</v>
      </c>
      <c r="G56" s="39">
        <f t="shared" si="8"/>
        <v>14773.800000000001</v>
      </c>
      <c r="H56" s="222">
        <f t="shared" si="9"/>
        <v>-4.1546521544897033E-2</v>
      </c>
      <c r="I56" s="39"/>
      <c r="J56" s="39"/>
      <c r="K56" s="39">
        <v>838</v>
      </c>
      <c r="L56" s="39"/>
      <c r="Z56" s="722" t="s">
        <v>743</v>
      </c>
      <c r="AA56" s="714">
        <v>374</v>
      </c>
      <c r="AB56" s="714">
        <v>380</v>
      </c>
      <c r="AC56" s="714">
        <v>354</v>
      </c>
      <c r="AD56" s="714">
        <v>375</v>
      </c>
      <c r="AE56" s="714"/>
      <c r="AF56" s="676"/>
      <c r="AG56" s="676"/>
    </row>
    <row r="57" spans="1:33" x14ac:dyDescent="0.25">
      <c r="B57" s="184">
        <v>42948</v>
      </c>
      <c r="C57" s="10">
        <v>800</v>
      </c>
      <c r="D57" s="39">
        <v>24.087399999999999</v>
      </c>
      <c r="E57" s="39">
        <v>22.75</v>
      </c>
      <c r="F57" s="39">
        <f t="shared" si="7"/>
        <v>-1069.9199999999992</v>
      </c>
      <c r="G57" s="39">
        <f t="shared" si="8"/>
        <v>19269.919999999998</v>
      </c>
      <c r="H57" s="222">
        <f t="shared" si="9"/>
        <v>-5.5522804453780765E-2</v>
      </c>
      <c r="I57" s="39"/>
      <c r="J57" s="39"/>
      <c r="K57" s="39"/>
      <c r="L57" s="39"/>
      <c r="Z57" s="718" t="s">
        <v>736</v>
      </c>
      <c r="AA57" s="716">
        <v>583</v>
      </c>
      <c r="AB57" s="424">
        <v>931</v>
      </c>
      <c r="AC57" s="424">
        <v>713</v>
      </c>
      <c r="AD57" s="424">
        <v>665</v>
      </c>
      <c r="AE57" s="424"/>
      <c r="AF57" s="676"/>
      <c r="AG57" s="676"/>
    </row>
    <row r="58" spans="1:33" x14ac:dyDescent="0.25">
      <c r="A58">
        <v>800</v>
      </c>
      <c r="B58" s="184">
        <v>42983</v>
      </c>
      <c r="C58" s="10">
        <v>900</v>
      </c>
      <c r="D58" s="39">
        <v>23.59</v>
      </c>
      <c r="E58" s="39">
        <v>19.46</v>
      </c>
      <c r="F58" s="39">
        <f t="shared" ref="F58:F69" si="10">C58*(E58-D58)</f>
        <v>-3716.9999999999991</v>
      </c>
      <c r="G58" s="39">
        <f t="shared" ref="G58:G69" si="11">D58*C58</f>
        <v>21231</v>
      </c>
      <c r="H58" s="222">
        <f t="shared" ref="H58:H69" si="12">(E58-D58)/D58</f>
        <v>-0.17507418397626109</v>
      </c>
      <c r="I58" s="39"/>
      <c r="J58" s="39"/>
      <c r="K58" s="39">
        <v>-2264</v>
      </c>
      <c r="L58" s="39"/>
      <c r="Z58" s="712"/>
      <c r="AA58" s="716"/>
      <c r="AB58" s="676"/>
      <c r="AC58" s="676"/>
      <c r="AD58" s="676"/>
      <c r="AE58" s="676"/>
      <c r="AF58" s="676"/>
      <c r="AG58" s="676"/>
    </row>
    <row r="59" spans="1:33" x14ac:dyDescent="0.25">
      <c r="A59">
        <v>700</v>
      </c>
      <c r="B59" s="184">
        <v>42984</v>
      </c>
      <c r="C59" s="425">
        <v>800</v>
      </c>
      <c r="D59" s="426">
        <v>24.0657</v>
      </c>
      <c r="E59" s="39">
        <v>19.78</v>
      </c>
      <c r="F59" s="39">
        <f t="shared" si="10"/>
        <v>-3428.5599999999986</v>
      </c>
      <c r="G59" s="39">
        <f t="shared" si="11"/>
        <v>19252.560000000001</v>
      </c>
      <c r="H59" s="222">
        <f t="shared" si="12"/>
        <v>-0.17808333021686459</v>
      </c>
      <c r="I59" s="39">
        <v>23.5</v>
      </c>
      <c r="J59" s="39"/>
      <c r="K59" s="39">
        <v>-2128</v>
      </c>
      <c r="L59" s="39"/>
      <c r="Z59" s="712"/>
      <c r="AA59" s="716"/>
      <c r="AB59" s="676"/>
      <c r="AC59" s="676"/>
      <c r="AD59" s="676"/>
      <c r="AE59" s="676"/>
      <c r="AF59" s="676"/>
      <c r="AG59" s="676"/>
    </row>
    <row r="60" spans="1:33" x14ac:dyDescent="0.25">
      <c r="A60">
        <v>700</v>
      </c>
      <c r="B60" s="184">
        <v>42996</v>
      </c>
      <c r="C60" s="10">
        <v>800</v>
      </c>
      <c r="D60" s="39">
        <v>24.0657</v>
      </c>
      <c r="E60" s="39">
        <v>21.31</v>
      </c>
      <c r="F60" s="39">
        <f t="shared" si="10"/>
        <v>-2204.5600000000009</v>
      </c>
      <c r="G60" s="39">
        <f t="shared" si="11"/>
        <v>19252.560000000001</v>
      </c>
      <c r="H60" s="222">
        <f t="shared" si="12"/>
        <v>-0.11450736940957466</v>
      </c>
      <c r="I60" s="39">
        <v>23.5</v>
      </c>
      <c r="J60" s="39"/>
      <c r="K60" s="39">
        <v>-752</v>
      </c>
      <c r="L60" s="39"/>
      <c r="Z60" s="713"/>
      <c r="AA60" s="716"/>
      <c r="AB60" s="676"/>
      <c r="AC60" s="676"/>
      <c r="AD60" s="676"/>
      <c r="AE60" s="676"/>
      <c r="AF60" s="676"/>
      <c r="AG60" s="676"/>
    </row>
    <row r="61" spans="1:33" x14ac:dyDescent="0.25">
      <c r="A61">
        <v>700</v>
      </c>
      <c r="B61" s="184">
        <v>42999</v>
      </c>
      <c r="C61" s="425">
        <v>800</v>
      </c>
      <c r="D61" s="426">
        <v>23.896999999999998</v>
      </c>
      <c r="E61" s="39">
        <v>21.59</v>
      </c>
      <c r="F61" s="39">
        <f t="shared" si="10"/>
        <v>-1845.599999999999</v>
      </c>
      <c r="G61" s="39">
        <f t="shared" si="11"/>
        <v>19117.599999999999</v>
      </c>
      <c r="H61" s="222">
        <f t="shared" si="12"/>
        <v>-9.6539314558312703E-2</v>
      </c>
      <c r="I61" s="39">
        <v>23.5</v>
      </c>
      <c r="J61" s="39"/>
      <c r="K61" s="39">
        <v>-393</v>
      </c>
      <c r="L61" s="39"/>
      <c r="Z61" s="712"/>
      <c r="AA61" s="716"/>
      <c r="AB61" s="676"/>
      <c r="AC61" s="676"/>
      <c r="AD61" s="676"/>
      <c r="AE61" s="676"/>
      <c r="AF61" s="676"/>
      <c r="AG61" s="676"/>
    </row>
    <row r="62" spans="1:33" x14ac:dyDescent="0.25">
      <c r="B62" s="184">
        <v>43023</v>
      </c>
      <c r="C62" s="10">
        <v>800</v>
      </c>
      <c r="D62" s="39">
        <v>23.9</v>
      </c>
      <c r="E62" s="39">
        <v>21.78</v>
      </c>
      <c r="F62" s="39">
        <f t="shared" si="10"/>
        <v>-1695.999999999998</v>
      </c>
      <c r="G62" s="39">
        <f t="shared" si="11"/>
        <v>19120</v>
      </c>
      <c r="H62" s="222">
        <f t="shared" si="12"/>
        <v>-8.8702928870292783E-2</v>
      </c>
      <c r="I62" s="39"/>
      <c r="J62" s="39">
        <v>61</v>
      </c>
      <c r="K62" s="39">
        <v>-241</v>
      </c>
      <c r="L62" s="39"/>
      <c r="Z62" s="713" t="s">
        <v>734</v>
      </c>
      <c r="AA62" s="716">
        <v>95</v>
      </c>
      <c r="AB62" s="676">
        <v>213.9</v>
      </c>
      <c r="AC62" s="676">
        <v>127.1</v>
      </c>
      <c r="AD62" s="676">
        <v>80.7</v>
      </c>
      <c r="AE62" s="676"/>
      <c r="AF62" s="676"/>
      <c r="AG62" s="676"/>
    </row>
    <row r="63" spans="1:33" x14ac:dyDescent="0.25">
      <c r="A63">
        <v>800</v>
      </c>
      <c r="B63" s="184">
        <v>43031</v>
      </c>
      <c r="C63" s="10">
        <v>800</v>
      </c>
      <c r="D63" s="39">
        <v>23.9</v>
      </c>
      <c r="E63" s="39">
        <v>21.03</v>
      </c>
      <c r="F63" s="39">
        <f t="shared" si="10"/>
        <v>-2295.9999999999982</v>
      </c>
      <c r="G63" s="39">
        <f t="shared" si="11"/>
        <v>19120</v>
      </c>
      <c r="H63" s="222">
        <f t="shared" si="12"/>
        <v>-0.1200836820083681</v>
      </c>
      <c r="I63" s="39"/>
      <c r="J63" s="39"/>
      <c r="K63" s="39">
        <v>-841</v>
      </c>
      <c r="L63" s="39"/>
      <c r="Z63" s="713" t="s">
        <v>732</v>
      </c>
      <c r="AA63" s="716">
        <v>97</v>
      </c>
      <c r="AB63" s="676">
        <v>227.5</v>
      </c>
      <c r="AC63" s="676">
        <v>-429.8</v>
      </c>
      <c r="AD63" s="676">
        <v>42.3</v>
      </c>
      <c r="AE63" s="676"/>
      <c r="AF63" s="676"/>
      <c r="AG63" s="676"/>
    </row>
    <row r="64" spans="1:33" x14ac:dyDescent="0.25">
      <c r="A64">
        <v>800</v>
      </c>
      <c r="B64" s="184">
        <v>43050</v>
      </c>
      <c r="C64" s="10">
        <v>800</v>
      </c>
      <c r="D64" s="39">
        <v>23.9</v>
      </c>
      <c r="E64" s="39">
        <v>22.84</v>
      </c>
      <c r="F64" s="39">
        <f t="shared" si="10"/>
        <v>-847.99999999999898</v>
      </c>
      <c r="G64" s="39">
        <f t="shared" si="11"/>
        <v>19120</v>
      </c>
      <c r="H64" s="222">
        <f t="shared" si="12"/>
        <v>-4.4351464435146391E-2</v>
      </c>
      <c r="I64" s="39"/>
      <c r="J64" s="39">
        <v>60.22</v>
      </c>
      <c r="K64" s="39">
        <v>607</v>
      </c>
      <c r="L64" s="39"/>
      <c r="Z64" s="713" t="s">
        <v>731</v>
      </c>
      <c r="AA64" s="716">
        <v>0.28000000000000003</v>
      </c>
      <c r="AB64" s="676">
        <v>0.65</v>
      </c>
      <c r="AC64" s="676">
        <v>-1.23</v>
      </c>
      <c r="AD64" s="676"/>
      <c r="AE64" s="676"/>
      <c r="AF64" s="676"/>
      <c r="AG64" s="676"/>
    </row>
    <row r="65" spans="1:33" x14ac:dyDescent="0.25">
      <c r="A65">
        <v>500</v>
      </c>
      <c r="B65" s="184">
        <v>43068</v>
      </c>
      <c r="C65" s="10">
        <v>500</v>
      </c>
      <c r="D65" s="39">
        <v>23.4815</v>
      </c>
      <c r="E65" s="39">
        <v>24.39</v>
      </c>
      <c r="F65" s="39">
        <f t="shared" si="10"/>
        <v>454.25000000000006</v>
      </c>
      <c r="G65" s="39">
        <f t="shared" si="11"/>
        <v>11740.75</v>
      </c>
      <c r="H65" s="222">
        <f t="shared" si="12"/>
        <v>3.8690032578838664E-2</v>
      </c>
      <c r="I65" s="39"/>
      <c r="J65" s="39"/>
      <c r="K65" s="39">
        <v>1907</v>
      </c>
      <c r="L65" s="39"/>
      <c r="Z65" s="713" t="s">
        <v>930</v>
      </c>
      <c r="AA65" s="716"/>
      <c r="AB65" s="676"/>
      <c r="AC65" s="676">
        <v>0.34</v>
      </c>
      <c r="AD65" s="676">
        <v>0.11</v>
      </c>
      <c r="AE65" s="676"/>
      <c r="AF65" s="676"/>
      <c r="AG65" s="676"/>
    </row>
    <row r="66" spans="1:33" x14ac:dyDescent="0.25">
      <c r="A66">
        <v>500</v>
      </c>
      <c r="B66" s="184">
        <v>43081</v>
      </c>
      <c r="C66" s="10">
        <v>500</v>
      </c>
      <c r="D66" s="39">
        <v>23.4815</v>
      </c>
      <c r="E66" s="39">
        <v>24.82</v>
      </c>
      <c r="F66" s="39">
        <f t="shared" si="10"/>
        <v>669.24999999999989</v>
      </c>
      <c r="G66" s="39">
        <f t="shared" si="11"/>
        <v>11740.75</v>
      </c>
      <c r="H66" s="222">
        <f t="shared" si="12"/>
        <v>5.7002320976087546E-2</v>
      </c>
      <c r="I66" s="39"/>
      <c r="J66" s="39"/>
      <c r="K66" s="39">
        <v>2121</v>
      </c>
      <c r="L66" s="39"/>
      <c r="Z66" s="713" t="s">
        <v>733</v>
      </c>
      <c r="AA66" s="716">
        <v>1.8</v>
      </c>
      <c r="AB66" s="676">
        <v>1.98</v>
      </c>
      <c r="AC66" s="676">
        <v>2.09</v>
      </c>
      <c r="AD66" s="676">
        <v>1.93</v>
      </c>
      <c r="AE66" s="676"/>
      <c r="AF66" s="676"/>
      <c r="AG66" s="676"/>
    </row>
    <row r="67" spans="1:33" x14ac:dyDescent="0.25">
      <c r="A67">
        <v>450</v>
      </c>
      <c r="B67" s="184">
        <v>43090</v>
      </c>
      <c r="C67" s="10">
        <v>450</v>
      </c>
      <c r="D67" s="39">
        <v>23.29</v>
      </c>
      <c r="E67" s="39">
        <v>25.23</v>
      </c>
      <c r="F67" s="39">
        <f t="shared" si="10"/>
        <v>873.00000000000057</v>
      </c>
      <c r="G67" s="39">
        <f t="shared" si="11"/>
        <v>10480.5</v>
      </c>
      <c r="H67" s="222">
        <f t="shared" si="12"/>
        <v>8.3297552597681471E-2</v>
      </c>
      <c r="I67" s="39"/>
      <c r="J67" s="39">
        <v>68</v>
      </c>
      <c r="K67" s="39">
        <v>2324</v>
      </c>
      <c r="L67" s="39"/>
      <c r="Z67" s="713"/>
      <c r="AA67" s="716"/>
      <c r="AB67" s="676"/>
      <c r="AC67" s="676"/>
      <c r="AD67" s="676"/>
      <c r="AE67" s="676"/>
      <c r="AF67" s="676"/>
      <c r="AG67" s="676"/>
    </row>
    <row r="68" spans="1:33" x14ac:dyDescent="0.25">
      <c r="A68">
        <v>400</v>
      </c>
      <c r="B68" s="184">
        <v>43102</v>
      </c>
      <c r="C68" s="7">
        <v>400</v>
      </c>
      <c r="D68" s="43">
        <v>22.85</v>
      </c>
      <c r="E68" s="39">
        <v>26.65</v>
      </c>
      <c r="F68" s="39">
        <f t="shared" si="10"/>
        <v>1519.9999999999989</v>
      </c>
      <c r="G68" s="39">
        <f t="shared" si="11"/>
        <v>9140</v>
      </c>
      <c r="H68" s="222">
        <f t="shared" si="12"/>
        <v>0.16630196936542657</v>
      </c>
      <c r="I68" s="746" t="s">
        <v>821</v>
      </c>
      <c r="J68" s="39"/>
      <c r="K68" s="39">
        <v>2972</v>
      </c>
      <c r="L68" s="39"/>
      <c r="Z68" s="713" t="s">
        <v>735</v>
      </c>
      <c r="AA68" s="716">
        <v>661</v>
      </c>
      <c r="AB68" s="676">
        <v>726.4</v>
      </c>
      <c r="AC68" s="676">
        <v>2194.4</v>
      </c>
      <c r="AD68" s="676">
        <v>703.1</v>
      </c>
      <c r="AE68" s="676"/>
      <c r="AF68" s="676"/>
      <c r="AG68" s="676"/>
    </row>
    <row r="69" spans="1:33" x14ac:dyDescent="0.25">
      <c r="A69">
        <v>400</v>
      </c>
      <c r="B69" s="184">
        <v>43110</v>
      </c>
      <c r="C69" s="10">
        <v>400</v>
      </c>
      <c r="D69" s="39">
        <v>22.8508</v>
      </c>
      <c r="E69" s="39">
        <v>25.91</v>
      </c>
      <c r="F69" s="39">
        <f t="shared" si="10"/>
        <v>1223.6800000000003</v>
      </c>
      <c r="G69" s="39">
        <f t="shared" si="11"/>
        <v>9140.32</v>
      </c>
      <c r="H69" s="222">
        <f t="shared" si="12"/>
        <v>0.13387715090937738</v>
      </c>
      <c r="I69" s="39"/>
      <c r="J69" s="39"/>
      <c r="K69" s="39">
        <v>2676</v>
      </c>
      <c r="L69" s="39"/>
      <c r="Z69" s="713" t="s">
        <v>1060</v>
      </c>
      <c r="AA69" s="716">
        <v>3800</v>
      </c>
      <c r="AB69" s="676">
        <v>3720</v>
      </c>
      <c r="AC69" s="676">
        <v>4878.1000000000004</v>
      </c>
      <c r="AD69" s="676">
        <v>4823.1000000000004</v>
      </c>
      <c r="AE69" s="676"/>
      <c r="AF69" s="676"/>
      <c r="AG69" s="676"/>
    </row>
    <row r="70" spans="1:33" x14ac:dyDescent="0.25">
      <c r="B70" s="184">
        <v>43112</v>
      </c>
      <c r="C70" s="10">
        <v>400</v>
      </c>
      <c r="D70" s="39">
        <v>22.8508</v>
      </c>
      <c r="E70" s="39">
        <v>27.22</v>
      </c>
      <c r="F70" s="39">
        <f t="shared" ref="F70:F82" si="13">C70*(E70-D70)</f>
        <v>1747.6799999999998</v>
      </c>
      <c r="G70" s="39">
        <f t="shared" ref="G70:G82" si="14">D70*C70</f>
        <v>9140.32</v>
      </c>
      <c r="H70" s="222">
        <f t="shared" ref="H70:H82" si="15">(E70-D70)/D70</f>
        <v>0.1912055595427731</v>
      </c>
      <c r="I70" s="39"/>
      <c r="J70" s="39"/>
      <c r="K70" s="39">
        <v>3120</v>
      </c>
      <c r="L70" s="39"/>
      <c r="Z70" s="712"/>
      <c r="AA70" s="716"/>
      <c r="AB70" s="676"/>
      <c r="AC70" s="676"/>
      <c r="AD70" s="676"/>
      <c r="AE70" s="676"/>
      <c r="AF70" s="676"/>
      <c r="AG70" s="676"/>
    </row>
    <row r="71" spans="1:33" x14ac:dyDescent="0.25">
      <c r="A71">
        <v>400</v>
      </c>
      <c r="B71" s="184">
        <v>43116</v>
      </c>
      <c r="C71" s="10">
        <v>450</v>
      </c>
      <c r="D71" s="39">
        <v>23.176200000000001</v>
      </c>
      <c r="E71" s="39">
        <v>25.68</v>
      </c>
      <c r="F71" s="39">
        <f t="shared" si="13"/>
        <v>1126.7099999999991</v>
      </c>
      <c r="G71" s="39">
        <f t="shared" si="14"/>
        <v>10429.290000000001</v>
      </c>
      <c r="H71" s="222">
        <f t="shared" si="15"/>
        <v>0.10803324099722983</v>
      </c>
      <c r="I71" s="39"/>
      <c r="J71" s="39"/>
      <c r="K71" s="39">
        <v>2579</v>
      </c>
      <c r="L71" s="39"/>
      <c r="Z71" s="712"/>
      <c r="AA71" s="716"/>
      <c r="AB71" s="676"/>
      <c r="AC71" s="676"/>
      <c r="AD71" s="676"/>
      <c r="AE71" s="676"/>
      <c r="AF71" s="676"/>
      <c r="AG71" s="676"/>
    </row>
    <row r="72" spans="1:33" x14ac:dyDescent="0.25">
      <c r="A72">
        <v>350</v>
      </c>
      <c r="B72" s="184">
        <v>43118</v>
      </c>
      <c r="C72" s="7">
        <v>400</v>
      </c>
      <c r="D72" s="43">
        <v>22.763300000000001</v>
      </c>
      <c r="E72" s="39">
        <v>26.22</v>
      </c>
      <c r="F72" s="39">
        <f t="shared" si="13"/>
        <v>1382.6799999999992</v>
      </c>
      <c r="G72" s="39">
        <f t="shared" si="14"/>
        <v>9105.32</v>
      </c>
      <c r="H72" s="222">
        <f t="shared" si="15"/>
        <v>0.15185408091093988</v>
      </c>
      <c r="I72" s="39">
        <v>22.5</v>
      </c>
      <c r="J72" s="39"/>
      <c r="K72" s="39">
        <v>2835</v>
      </c>
      <c r="L72" s="39"/>
      <c r="Z72" s="712"/>
      <c r="AA72" s="716"/>
      <c r="AB72" s="676"/>
      <c r="AC72" s="676"/>
      <c r="AD72" s="676"/>
      <c r="AE72" s="676"/>
      <c r="AF72" s="676"/>
      <c r="AG72" s="676"/>
    </row>
    <row r="73" spans="1:33" x14ac:dyDescent="0.25">
      <c r="A73">
        <v>350</v>
      </c>
      <c r="B73" s="184">
        <v>43121</v>
      </c>
      <c r="C73" s="10">
        <v>400</v>
      </c>
      <c r="D73" s="39">
        <v>22.76</v>
      </c>
      <c r="E73" s="39">
        <v>26.53</v>
      </c>
      <c r="F73" s="39">
        <f t="shared" si="13"/>
        <v>1507.9999999999998</v>
      </c>
      <c r="G73" s="39">
        <f t="shared" si="14"/>
        <v>9104</v>
      </c>
      <c r="H73" s="222">
        <f t="shared" si="15"/>
        <v>0.16564147627416517</v>
      </c>
      <c r="I73" s="39"/>
      <c r="J73" s="39">
        <v>58.41</v>
      </c>
      <c r="K73" s="39">
        <v>2959</v>
      </c>
      <c r="L73" s="39"/>
      <c r="AA73" s="107"/>
    </row>
    <row r="74" spans="1:33" x14ac:dyDescent="0.25">
      <c r="A74">
        <v>250</v>
      </c>
      <c r="B74" s="184">
        <v>43126</v>
      </c>
      <c r="C74" s="10">
        <v>300</v>
      </c>
      <c r="D74" s="39">
        <v>21.144600000000001</v>
      </c>
      <c r="E74" s="39">
        <v>27.6</v>
      </c>
      <c r="F74" s="39">
        <f t="shared" si="13"/>
        <v>1936.6200000000003</v>
      </c>
      <c r="G74" s="39">
        <f t="shared" si="14"/>
        <v>6343.38</v>
      </c>
      <c r="H74" s="222">
        <f t="shared" si="15"/>
        <v>0.30529780653216426</v>
      </c>
      <c r="I74" s="39"/>
      <c r="J74" s="39"/>
      <c r="K74" s="39">
        <v>3389</v>
      </c>
      <c r="L74" s="39"/>
      <c r="AA74" s="4"/>
    </row>
    <row r="75" spans="1:33" x14ac:dyDescent="0.25">
      <c r="A75">
        <v>250</v>
      </c>
      <c r="B75" s="184">
        <v>43131</v>
      </c>
      <c r="C75" s="10">
        <v>400</v>
      </c>
      <c r="D75" s="39">
        <v>22.578499999999998</v>
      </c>
      <c r="E75" s="39">
        <v>27.3</v>
      </c>
      <c r="F75" s="39">
        <f t="shared" si="13"/>
        <v>1888.600000000001</v>
      </c>
      <c r="G75" s="39">
        <f t="shared" si="14"/>
        <v>9031.4</v>
      </c>
      <c r="H75" s="222">
        <f t="shared" si="15"/>
        <v>0.20911486591226178</v>
      </c>
      <c r="I75" s="39"/>
      <c r="J75" s="39"/>
      <c r="K75" s="39">
        <v>3341</v>
      </c>
      <c r="L75" s="39"/>
    </row>
    <row r="76" spans="1:33" x14ac:dyDescent="0.25">
      <c r="A76">
        <v>250</v>
      </c>
      <c r="B76" s="184">
        <v>43133</v>
      </c>
      <c r="C76" s="10">
        <v>600</v>
      </c>
      <c r="D76" s="39">
        <v>23.68</v>
      </c>
      <c r="E76" s="39">
        <v>26.04</v>
      </c>
      <c r="F76" s="39">
        <f t="shared" si="13"/>
        <v>1415.9999999999995</v>
      </c>
      <c r="G76" s="39">
        <f t="shared" si="14"/>
        <v>14208</v>
      </c>
      <c r="H76" s="222">
        <f t="shared" si="15"/>
        <v>9.9662162162162143E-2</v>
      </c>
      <c r="I76" s="39"/>
      <c r="J76" s="39"/>
      <c r="K76" s="39">
        <v>2869</v>
      </c>
      <c r="L76" s="39"/>
    </row>
    <row r="77" spans="1:33" x14ac:dyDescent="0.25">
      <c r="B77" s="184">
        <v>43140</v>
      </c>
      <c r="C77" s="425">
        <v>800</v>
      </c>
      <c r="D77" s="426">
        <v>23.654199999999999</v>
      </c>
      <c r="E77" s="39">
        <v>24.35</v>
      </c>
      <c r="F77" s="39">
        <f t="shared" si="13"/>
        <v>556.64000000000158</v>
      </c>
      <c r="G77" s="39">
        <f t="shared" si="14"/>
        <v>18923.36</v>
      </c>
      <c r="H77" s="222">
        <f t="shared" si="15"/>
        <v>2.9415494922677664E-2</v>
      </c>
      <c r="I77" s="39"/>
      <c r="J77" s="39"/>
      <c r="K77" s="39"/>
      <c r="L77" s="39"/>
    </row>
    <row r="78" spans="1:33" x14ac:dyDescent="0.25">
      <c r="A78">
        <v>50</v>
      </c>
      <c r="B78" s="184">
        <v>43140</v>
      </c>
      <c r="C78" s="10">
        <v>600</v>
      </c>
      <c r="D78" s="39">
        <v>23.379200000000001</v>
      </c>
      <c r="E78" s="39">
        <v>24.35</v>
      </c>
      <c r="F78" s="39">
        <f t="shared" si="13"/>
        <v>582.48000000000036</v>
      </c>
      <c r="G78" s="39">
        <f t="shared" si="14"/>
        <v>14027.52</v>
      </c>
      <c r="H78" s="222">
        <f t="shared" si="15"/>
        <v>4.1524089789214368E-2</v>
      </c>
      <c r="I78" s="39"/>
      <c r="J78" s="39"/>
      <c r="K78" s="39">
        <v>2035</v>
      </c>
      <c r="L78" s="39"/>
    </row>
    <row r="79" spans="1:33" x14ac:dyDescent="0.25">
      <c r="A79">
        <v>50</v>
      </c>
      <c r="B79" s="184">
        <v>43146</v>
      </c>
      <c r="C79" s="10">
        <v>600</v>
      </c>
      <c r="D79" s="39">
        <v>23.38</v>
      </c>
      <c r="E79" s="39">
        <v>25.86</v>
      </c>
      <c r="F79" s="39">
        <f t="shared" si="13"/>
        <v>1488.0000000000002</v>
      </c>
      <c r="G79" s="39">
        <f t="shared" si="14"/>
        <v>14028</v>
      </c>
      <c r="H79" s="222">
        <f t="shared" si="15"/>
        <v>0.10607356715141149</v>
      </c>
      <c r="I79" s="39"/>
      <c r="J79" s="39"/>
      <c r="K79" s="39">
        <v>2941</v>
      </c>
      <c r="L79" s="39"/>
    </row>
    <row r="80" spans="1:33" x14ac:dyDescent="0.25">
      <c r="A80">
        <v>0</v>
      </c>
      <c r="B80" s="184">
        <v>43151</v>
      </c>
      <c r="C80" s="10">
        <v>500</v>
      </c>
      <c r="D80" s="39">
        <v>22.82</v>
      </c>
      <c r="E80" s="39">
        <v>26.19</v>
      </c>
      <c r="F80" s="39">
        <f t="shared" si="13"/>
        <v>1685.0000000000005</v>
      </c>
      <c r="G80" s="39">
        <f t="shared" si="14"/>
        <v>11410</v>
      </c>
      <c r="H80" s="222">
        <f t="shared" si="15"/>
        <v>0.14767747589833483</v>
      </c>
      <c r="I80" s="39"/>
      <c r="J80" s="39"/>
      <c r="K80" s="39">
        <v>3139</v>
      </c>
      <c r="L80" s="39"/>
    </row>
    <row r="81" spans="1:12" x14ac:dyDescent="0.25">
      <c r="A81">
        <v>0</v>
      </c>
      <c r="B81" s="184">
        <v>43151</v>
      </c>
      <c r="C81" s="7">
        <v>400</v>
      </c>
      <c r="D81" s="43">
        <v>21.81</v>
      </c>
      <c r="E81" s="39">
        <v>26.76</v>
      </c>
      <c r="F81" s="39">
        <f t="shared" si="13"/>
        <v>1980.0000000000011</v>
      </c>
      <c r="G81" s="39">
        <f t="shared" si="14"/>
        <v>8724</v>
      </c>
      <c r="H81" s="222">
        <f t="shared" si="15"/>
        <v>0.22696011004126562</v>
      </c>
      <c r="I81" s="746" t="s">
        <v>931</v>
      </c>
      <c r="J81" s="39"/>
      <c r="K81" s="39">
        <v>3433</v>
      </c>
      <c r="L81" s="39"/>
    </row>
    <row r="82" spans="1:12" x14ac:dyDescent="0.25">
      <c r="B82" s="184">
        <v>43157</v>
      </c>
      <c r="C82" s="10">
        <v>400</v>
      </c>
      <c r="D82" s="39">
        <v>21.81</v>
      </c>
      <c r="E82" s="39">
        <v>28.12</v>
      </c>
      <c r="F82" s="39">
        <f t="shared" si="13"/>
        <v>2524.0000000000009</v>
      </c>
      <c r="G82" s="39">
        <f t="shared" si="14"/>
        <v>8724</v>
      </c>
      <c r="H82" s="222">
        <f t="shared" si="15"/>
        <v>0.28931682714351226</v>
      </c>
      <c r="I82" s="39"/>
      <c r="J82" s="39"/>
      <c r="K82" s="39">
        <v>3996</v>
      </c>
      <c r="L82" s="39"/>
    </row>
    <row r="83" spans="1:12" x14ac:dyDescent="0.25">
      <c r="A83" s="1">
        <v>43164</v>
      </c>
      <c r="B83" s="184">
        <v>43158</v>
      </c>
      <c r="C83" s="10">
        <v>400</v>
      </c>
      <c r="D83" s="39">
        <v>21.81</v>
      </c>
      <c r="E83" s="39">
        <v>26.82</v>
      </c>
      <c r="F83" s="39">
        <f>C83*(E83-D83)</f>
        <v>2004.0000000000007</v>
      </c>
      <c r="G83" s="39">
        <f>D83*C83</f>
        <v>8724</v>
      </c>
      <c r="H83" s="222">
        <f>(E83-D83)/D83</f>
        <v>0.22971114167812939</v>
      </c>
      <c r="I83" s="39"/>
      <c r="J83" s="39"/>
      <c r="K83" s="39">
        <v>3457</v>
      </c>
      <c r="L83" s="39"/>
    </row>
    <row r="84" spans="1:12" x14ac:dyDescent="0.25">
      <c r="A84">
        <v>200</v>
      </c>
      <c r="B84" s="184">
        <v>43165</v>
      </c>
      <c r="C84" s="10">
        <v>400</v>
      </c>
      <c r="D84" s="39">
        <v>21.81</v>
      </c>
      <c r="E84" s="39">
        <v>27.74</v>
      </c>
      <c r="F84" s="39">
        <f>C84*(E84-D84)</f>
        <v>2372</v>
      </c>
      <c r="G84" s="39">
        <f>D84*C84</f>
        <v>8724</v>
      </c>
      <c r="H84" s="222">
        <f>(E84-D84)/D84</f>
        <v>0.27189362677670792</v>
      </c>
      <c r="I84" s="39"/>
      <c r="J84" s="39"/>
      <c r="K84" s="39">
        <v>3825</v>
      </c>
      <c r="L84" s="39"/>
    </row>
    <row r="85" spans="1:12" x14ac:dyDescent="0.25">
      <c r="A85">
        <v>400</v>
      </c>
      <c r="B85" s="184">
        <v>43178</v>
      </c>
      <c r="C85" s="10">
        <v>600</v>
      </c>
      <c r="D85" s="39">
        <v>22.95</v>
      </c>
      <c r="E85" s="39">
        <v>25.59</v>
      </c>
      <c r="F85" s="39">
        <f>C85*(E85-D85)</f>
        <v>1584.0000000000005</v>
      </c>
      <c r="G85" s="39">
        <f>D85*C85</f>
        <v>13770</v>
      </c>
      <c r="H85" s="222">
        <f>(E85-D85)/D85</f>
        <v>0.11503267973856211</v>
      </c>
      <c r="I85" s="39">
        <v>22.5</v>
      </c>
      <c r="J85" s="39"/>
      <c r="K85" s="39">
        <v>2851</v>
      </c>
      <c r="L85" s="39"/>
    </row>
    <row r="86" spans="1:12" x14ac:dyDescent="0.25">
      <c r="A86">
        <v>400</v>
      </c>
      <c r="B86" s="184">
        <v>43185</v>
      </c>
      <c r="C86" s="10">
        <v>600</v>
      </c>
      <c r="D86" s="39">
        <v>22.95</v>
      </c>
      <c r="E86" s="39">
        <v>24.65</v>
      </c>
      <c r="F86" s="39">
        <f t="shared" ref="F86:F93" si="16">C86*(E86-D86)</f>
        <v>1019.9999999999995</v>
      </c>
      <c r="G86" s="39">
        <f t="shared" ref="G86:G93" si="17">D86*C86</f>
        <v>13770</v>
      </c>
      <c r="H86" s="222">
        <f t="shared" ref="H86:H93" si="18">(E86-D86)/D86</f>
        <v>7.4074074074074042E-2</v>
      </c>
      <c r="I86" s="39"/>
      <c r="J86" s="39"/>
      <c r="K86" s="39">
        <v>2474</v>
      </c>
      <c r="L86" s="39"/>
    </row>
    <row r="87" spans="1:12" x14ac:dyDescent="0.25">
      <c r="A87">
        <v>400</v>
      </c>
      <c r="B87" s="184">
        <v>43187</v>
      </c>
      <c r="C87" s="425">
        <v>800</v>
      </c>
      <c r="D87" s="426">
        <v>23.1145</v>
      </c>
      <c r="E87" s="39">
        <v>23.57</v>
      </c>
      <c r="F87" s="39">
        <f t="shared" si="16"/>
        <v>364.40000000000055</v>
      </c>
      <c r="G87" s="39">
        <f t="shared" si="17"/>
        <v>18491.599999999999</v>
      </c>
      <c r="H87" s="222">
        <f t="shared" si="18"/>
        <v>1.9706244997728727E-2</v>
      </c>
      <c r="I87" s="746" t="s">
        <v>957</v>
      </c>
      <c r="J87" s="39"/>
      <c r="K87" s="39">
        <v>1817</v>
      </c>
      <c r="L87" s="39"/>
    </row>
    <row r="88" spans="1:12" x14ac:dyDescent="0.25">
      <c r="A88">
        <v>200</v>
      </c>
      <c r="B88" s="184">
        <v>43188</v>
      </c>
      <c r="C88" s="10">
        <v>600</v>
      </c>
      <c r="D88" s="39">
        <v>22.732900000000001</v>
      </c>
      <c r="E88" s="39">
        <v>24.28</v>
      </c>
      <c r="F88" s="39">
        <f t="shared" si="16"/>
        <v>928.26000000000022</v>
      </c>
      <c r="G88" s="39">
        <f t="shared" si="17"/>
        <v>13639.74</v>
      </c>
      <c r="H88" s="222">
        <f t="shared" si="18"/>
        <v>6.8055549445957195E-2</v>
      </c>
      <c r="I88" s="39">
        <v>22.5</v>
      </c>
      <c r="J88" s="39"/>
      <c r="K88" s="39">
        <v>2380</v>
      </c>
      <c r="L88" s="39"/>
    </row>
    <row r="89" spans="1:12" x14ac:dyDescent="0.25">
      <c r="A89">
        <v>200</v>
      </c>
      <c r="B89" s="184">
        <v>43192</v>
      </c>
      <c r="C89" s="425">
        <v>800</v>
      </c>
      <c r="D89" s="426">
        <v>22.97</v>
      </c>
      <c r="E89" s="39">
        <v>23.67</v>
      </c>
      <c r="F89" s="39">
        <f t="shared" si="16"/>
        <v>560.00000000000227</v>
      </c>
      <c r="G89" s="39">
        <f t="shared" si="17"/>
        <v>18376</v>
      </c>
      <c r="H89" s="222">
        <f t="shared" si="18"/>
        <v>3.0474531998258725E-2</v>
      </c>
      <c r="I89" s="39"/>
      <c r="J89" s="39"/>
      <c r="K89" s="39">
        <v>2012</v>
      </c>
      <c r="L89" s="39"/>
    </row>
    <row r="90" spans="1:12" x14ac:dyDescent="0.25">
      <c r="A90">
        <v>0</v>
      </c>
      <c r="B90" s="184">
        <v>43195</v>
      </c>
      <c r="C90" s="10">
        <v>600</v>
      </c>
      <c r="D90" s="39">
        <v>22.21</v>
      </c>
      <c r="E90" s="39">
        <v>25.19</v>
      </c>
      <c r="F90" s="39">
        <f t="shared" si="16"/>
        <v>1788.0000000000002</v>
      </c>
      <c r="G90" s="39">
        <f t="shared" si="17"/>
        <v>13326</v>
      </c>
      <c r="H90" s="222">
        <f t="shared" si="18"/>
        <v>0.13417379558757317</v>
      </c>
      <c r="I90" s="746" t="s">
        <v>959</v>
      </c>
      <c r="J90" s="39"/>
      <c r="K90" s="39">
        <v>3240</v>
      </c>
      <c r="L90" s="39"/>
    </row>
    <row r="91" spans="1:12" x14ac:dyDescent="0.25">
      <c r="B91" s="184">
        <v>43196</v>
      </c>
      <c r="C91" s="10">
        <v>700</v>
      </c>
      <c r="D91" s="39">
        <v>22.54</v>
      </c>
      <c r="E91" s="39">
        <v>24.5</v>
      </c>
      <c r="F91" s="39">
        <f t="shared" si="16"/>
        <v>1372.0000000000007</v>
      </c>
      <c r="G91" s="39">
        <f t="shared" si="17"/>
        <v>15778</v>
      </c>
      <c r="H91" s="222">
        <f t="shared" si="18"/>
        <v>8.6956521739130474E-2</v>
      </c>
      <c r="I91" s="39"/>
      <c r="J91" s="39"/>
      <c r="K91" s="39">
        <v>2826</v>
      </c>
      <c r="L91" s="39"/>
    </row>
    <row r="92" spans="1:12" x14ac:dyDescent="0.25">
      <c r="A92">
        <v>0</v>
      </c>
      <c r="B92" s="184">
        <v>43196</v>
      </c>
      <c r="C92" s="425">
        <v>800</v>
      </c>
      <c r="D92" s="426">
        <v>22.725999999999999</v>
      </c>
      <c r="E92" s="39">
        <v>24.05</v>
      </c>
      <c r="F92" s="39">
        <f t="shared" si="16"/>
        <v>1059.2000000000012</v>
      </c>
      <c r="G92" s="39">
        <f t="shared" si="17"/>
        <v>18180.8</v>
      </c>
      <c r="H92" s="222">
        <f t="shared" si="18"/>
        <v>5.8259262518701123E-2</v>
      </c>
      <c r="I92" s="39">
        <v>22.5</v>
      </c>
      <c r="J92" s="39">
        <v>43</v>
      </c>
      <c r="K92" s="39">
        <v>2511</v>
      </c>
      <c r="L92" s="39">
        <v>19.38</v>
      </c>
    </row>
    <row r="93" spans="1:12" x14ac:dyDescent="0.25">
      <c r="A93">
        <v>0</v>
      </c>
      <c r="B93" s="184">
        <v>43200</v>
      </c>
      <c r="C93" s="10">
        <v>600</v>
      </c>
      <c r="D93" s="39">
        <v>21.895</v>
      </c>
      <c r="E93" s="39">
        <v>25.03</v>
      </c>
      <c r="F93" s="39">
        <f t="shared" si="16"/>
        <v>1881.0000000000009</v>
      </c>
      <c r="G93" s="39">
        <f t="shared" si="17"/>
        <v>13137</v>
      </c>
      <c r="H93" s="222">
        <f t="shared" si="18"/>
        <v>0.14318337519981739</v>
      </c>
      <c r="I93" s="39"/>
      <c r="J93" s="39"/>
      <c r="K93" s="39">
        <v>3333</v>
      </c>
      <c r="L93" s="39"/>
    </row>
    <row r="94" spans="1:12" x14ac:dyDescent="0.25">
      <c r="A94">
        <v>0</v>
      </c>
      <c r="B94" s="184">
        <v>43208</v>
      </c>
      <c r="C94" s="10">
        <v>600</v>
      </c>
      <c r="D94" s="39">
        <v>21.895</v>
      </c>
      <c r="E94" s="39">
        <v>26.04</v>
      </c>
      <c r="F94" s="39">
        <f>C94*(E94-D94)</f>
        <v>2486.9999999999995</v>
      </c>
      <c r="G94" s="39">
        <f>D94*C94</f>
        <v>13137</v>
      </c>
      <c r="H94" s="222">
        <f>(E94-D94)/D94</f>
        <v>0.18931262845398492</v>
      </c>
      <c r="I94" s="39"/>
      <c r="J94" s="39"/>
      <c r="K94" s="39">
        <v>3939</v>
      </c>
      <c r="L94" s="39"/>
    </row>
    <row r="95" spans="1:12" x14ac:dyDescent="0.25">
      <c r="A95">
        <v>0</v>
      </c>
      <c r="B95" s="184">
        <v>43216</v>
      </c>
      <c r="C95" s="10">
        <v>600</v>
      </c>
      <c r="D95" s="39">
        <v>21.895</v>
      </c>
      <c r="E95" s="39">
        <v>27.17</v>
      </c>
      <c r="F95" s="39">
        <f t="shared" ref="F95:F103" si="19">C95*(E95-D95)</f>
        <v>3165.0000000000014</v>
      </c>
      <c r="G95" s="39">
        <f t="shared" ref="G95:G103" si="20">D95*C95</f>
        <v>13137</v>
      </c>
      <c r="H95" s="222">
        <f t="shared" ref="H95:H103" si="21">(E95-D95)/D95</f>
        <v>0.24092258506508346</v>
      </c>
      <c r="I95" s="39"/>
      <c r="J95" s="39"/>
      <c r="K95" s="39">
        <v>4617</v>
      </c>
      <c r="L95" s="39"/>
    </row>
    <row r="96" spans="1:12" x14ac:dyDescent="0.25">
      <c r="A96">
        <v>200</v>
      </c>
      <c r="B96" s="184">
        <v>43224</v>
      </c>
      <c r="C96" s="7">
        <v>400</v>
      </c>
      <c r="D96" s="43">
        <v>19.053000000000001</v>
      </c>
      <c r="E96" s="39">
        <v>27.43</v>
      </c>
      <c r="F96" s="39">
        <f t="shared" si="19"/>
        <v>3350.7999999999997</v>
      </c>
      <c r="G96" s="39">
        <f t="shared" si="20"/>
        <v>7621.2000000000007</v>
      </c>
      <c r="H96" s="222">
        <f t="shared" si="21"/>
        <v>0.4396682937070277</v>
      </c>
      <c r="I96" s="746" t="s">
        <v>1054</v>
      </c>
      <c r="J96" s="39"/>
      <c r="K96" s="39">
        <v>4803</v>
      </c>
      <c r="L96" s="39">
        <v>19.68</v>
      </c>
    </row>
    <row r="97" spans="1:12" x14ac:dyDescent="0.25">
      <c r="A97">
        <v>400</v>
      </c>
      <c r="B97" s="184">
        <v>43227</v>
      </c>
      <c r="C97" s="10">
        <v>500</v>
      </c>
      <c r="D97" s="39">
        <v>20.6462</v>
      </c>
      <c r="E97" s="39">
        <v>27.56</v>
      </c>
      <c r="F97" s="39">
        <f t="shared" si="19"/>
        <v>3456.8999999999992</v>
      </c>
      <c r="G97" s="39">
        <f t="shared" si="20"/>
        <v>10323.1</v>
      </c>
      <c r="H97" s="222">
        <f t="shared" si="21"/>
        <v>0.33487033933605209</v>
      </c>
      <c r="I97" s="39"/>
      <c r="J97" s="39"/>
      <c r="K97" s="39">
        <v>4909</v>
      </c>
      <c r="L97" s="39"/>
    </row>
    <row r="98" spans="1:12" x14ac:dyDescent="0.25">
      <c r="A98">
        <v>400</v>
      </c>
      <c r="B98" s="184">
        <v>43228</v>
      </c>
      <c r="C98" s="10">
        <v>600</v>
      </c>
      <c r="D98" s="39">
        <v>21.5518</v>
      </c>
      <c r="E98" s="39">
        <v>26.1</v>
      </c>
      <c r="F98" s="39">
        <f t="shared" si="19"/>
        <v>2728.920000000001</v>
      </c>
      <c r="G98" s="39">
        <f t="shared" si="20"/>
        <v>12931.08</v>
      </c>
      <c r="H98" s="222">
        <f t="shared" si="21"/>
        <v>0.21103573715420529</v>
      </c>
      <c r="I98" s="746" t="s">
        <v>1063</v>
      </c>
      <c r="J98" s="39"/>
      <c r="K98" s="39">
        <v>4181</v>
      </c>
      <c r="L98" s="39"/>
    </row>
    <row r="99" spans="1:12" x14ac:dyDescent="0.25">
      <c r="A99">
        <v>200</v>
      </c>
      <c r="B99" s="184">
        <v>43234</v>
      </c>
      <c r="C99" s="7">
        <v>400</v>
      </c>
      <c r="D99" s="43">
        <v>18.6431</v>
      </c>
      <c r="E99" s="39">
        <v>27.17</v>
      </c>
      <c r="F99" s="39">
        <f t="shared" si="19"/>
        <v>3410.7600000000007</v>
      </c>
      <c r="G99" s="39">
        <f t="shared" si="20"/>
        <v>7457.24</v>
      </c>
      <c r="H99" s="222">
        <f t="shared" si="21"/>
        <v>0.45737565104515887</v>
      </c>
      <c r="I99" s="39">
        <v>18.5</v>
      </c>
      <c r="J99" s="39"/>
      <c r="K99" s="39">
        <v>4863</v>
      </c>
      <c r="L99" s="39"/>
    </row>
    <row r="100" spans="1:12" x14ac:dyDescent="0.25">
      <c r="A100">
        <v>0</v>
      </c>
      <c r="B100" s="184">
        <v>43257</v>
      </c>
      <c r="C100" s="228">
        <v>200</v>
      </c>
      <c r="D100" s="229">
        <v>8.5065000000000008</v>
      </c>
      <c r="E100" s="39">
        <v>29.08</v>
      </c>
      <c r="F100" s="39">
        <f t="shared" si="19"/>
        <v>4114.6999999999989</v>
      </c>
      <c r="G100" s="39">
        <f t="shared" si="20"/>
        <v>1701.3000000000002</v>
      </c>
      <c r="H100" s="222">
        <f t="shared" si="21"/>
        <v>2.418562275906659</v>
      </c>
      <c r="I100" s="39"/>
      <c r="J100" s="39"/>
      <c r="K100" s="39">
        <v>5567</v>
      </c>
      <c r="L100" s="39"/>
    </row>
    <row r="101" spans="1:12" x14ac:dyDescent="0.25">
      <c r="A101">
        <v>200</v>
      </c>
      <c r="B101" s="184">
        <v>43270</v>
      </c>
      <c r="C101" s="7">
        <v>400</v>
      </c>
      <c r="D101" s="43">
        <v>18.353300000000001</v>
      </c>
      <c r="E101" s="39">
        <v>28.31</v>
      </c>
      <c r="F101" s="39">
        <f t="shared" si="19"/>
        <v>3982.6799999999994</v>
      </c>
      <c r="G101" s="39">
        <f t="shared" si="20"/>
        <v>7341.3200000000006</v>
      </c>
      <c r="H101" s="222">
        <f t="shared" si="21"/>
        <v>0.54250189339246879</v>
      </c>
      <c r="I101" s="229" t="s">
        <v>1126</v>
      </c>
      <c r="J101" s="39"/>
      <c r="K101" s="39">
        <v>5435</v>
      </c>
      <c r="L101" s="39"/>
    </row>
    <row r="102" spans="1:12" x14ac:dyDescent="0.25">
      <c r="A102">
        <v>200</v>
      </c>
      <c r="B102" s="184">
        <v>43272</v>
      </c>
      <c r="C102" s="10">
        <v>400</v>
      </c>
      <c r="D102" s="39">
        <v>18.328299999999999</v>
      </c>
      <c r="E102" s="39">
        <v>28.28</v>
      </c>
      <c r="F102" s="39">
        <f t="shared" si="19"/>
        <v>3980.6800000000012</v>
      </c>
      <c r="G102" s="39">
        <f t="shared" si="20"/>
        <v>7331.32</v>
      </c>
      <c r="H102" s="222">
        <f t="shared" si="21"/>
        <v>0.54296906969004233</v>
      </c>
      <c r="I102" s="39"/>
      <c r="J102" s="39"/>
      <c r="K102" s="39">
        <v>5473</v>
      </c>
      <c r="L102" s="39"/>
    </row>
    <row r="103" spans="1:12" x14ac:dyDescent="0.25">
      <c r="A103">
        <v>100</v>
      </c>
      <c r="B103" s="184">
        <v>43273</v>
      </c>
      <c r="C103" s="10">
        <v>300</v>
      </c>
      <c r="D103" s="39">
        <v>14.7445</v>
      </c>
      <c r="E103" s="39">
        <v>28.88</v>
      </c>
      <c r="F103" s="39">
        <f t="shared" si="19"/>
        <v>4240.6499999999996</v>
      </c>
      <c r="G103" s="39">
        <f t="shared" si="20"/>
        <v>4423.3500000000004</v>
      </c>
      <c r="H103" s="222">
        <f t="shared" si="21"/>
        <v>0.95869646308793099</v>
      </c>
      <c r="I103" s="39"/>
      <c r="J103" s="39"/>
      <c r="K103" s="39">
        <v>5693</v>
      </c>
      <c r="L103" s="39"/>
    </row>
    <row r="104" spans="1:12" x14ac:dyDescent="0.25">
      <c r="A104">
        <v>100</v>
      </c>
      <c r="B104" s="184">
        <v>43292</v>
      </c>
      <c r="C104" s="7">
        <v>400</v>
      </c>
      <c r="D104" s="43">
        <v>18.11</v>
      </c>
      <c r="E104" s="39">
        <v>27.88</v>
      </c>
      <c r="F104" s="39">
        <f t="shared" ref="F104:F108" si="22">C104*(E104-D104)</f>
        <v>3908</v>
      </c>
      <c r="G104" s="39">
        <f t="shared" ref="G104:G108" si="23">D104*C104</f>
        <v>7244</v>
      </c>
      <c r="H104" s="222">
        <f t="shared" ref="H104:H108" si="24">(E104-D104)/D104</f>
        <v>0.5394809497515185</v>
      </c>
      <c r="I104" s="39"/>
      <c r="J104" s="39"/>
      <c r="K104" s="39">
        <v>5361</v>
      </c>
      <c r="L104" s="39"/>
    </row>
    <row r="105" spans="1:12" x14ac:dyDescent="0.25">
      <c r="A105">
        <v>100</v>
      </c>
      <c r="B105" s="184">
        <v>43292</v>
      </c>
      <c r="C105" s="10">
        <v>500</v>
      </c>
      <c r="D105" s="39">
        <v>20.059999999999999</v>
      </c>
      <c r="E105" s="39">
        <v>27.88</v>
      </c>
      <c r="F105" s="39">
        <f t="shared" si="22"/>
        <v>3910</v>
      </c>
      <c r="G105" s="39">
        <f t="shared" si="23"/>
        <v>10030</v>
      </c>
      <c r="H105" s="222">
        <f t="shared" si="24"/>
        <v>0.38983050847457629</v>
      </c>
      <c r="I105" s="39"/>
      <c r="J105" s="39"/>
      <c r="K105" s="39">
        <v>5361</v>
      </c>
      <c r="L105" s="39"/>
    </row>
    <row r="106" spans="1:12" x14ac:dyDescent="0.25">
      <c r="A106">
        <v>0</v>
      </c>
      <c r="B106" s="184">
        <v>43298</v>
      </c>
      <c r="C106" s="7">
        <v>400</v>
      </c>
      <c r="D106" s="43">
        <v>17.940999999999999</v>
      </c>
      <c r="E106" s="39">
        <v>28.55</v>
      </c>
      <c r="F106" s="39">
        <f t="shared" si="22"/>
        <v>4243.6000000000004</v>
      </c>
      <c r="G106" s="39">
        <f t="shared" si="23"/>
        <v>7176.4</v>
      </c>
      <c r="H106" s="222">
        <f t="shared" si="24"/>
        <v>0.5913271278078146</v>
      </c>
      <c r="I106" s="229" t="s">
        <v>1209</v>
      </c>
      <c r="J106" s="39"/>
      <c r="K106" s="39">
        <v>5696</v>
      </c>
      <c r="L106" s="39"/>
    </row>
    <row r="107" spans="1:12" x14ac:dyDescent="0.25">
      <c r="A107">
        <v>0</v>
      </c>
      <c r="B107" s="184">
        <v>43305</v>
      </c>
      <c r="C107" s="228">
        <v>200</v>
      </c>
      <c r="D107" s="229">
        <v>6.5023</v>
      </c>
      <c r="E107" s="39">
        <v>29.38</v>
      </c>
      <c r="F107" s="39">
        <f t="shared" si="22"/>
        <v>4575.5399999999991</v>
      </c>
      <c r="G107" s="39">
        <f t="shared" si="23"/>
        <v>1300.46</v>
      </c>
      <c r="H107" s="222">
        <f t="shared" si="24"/>
        <v>3.518401181120526</v>
      </c>
      <c r="I107" s="39"/>
      <c r="J107" s="39"/>
      <c r="K107" s="39">
        <v>5828</v>
      </c>
      <c r="L107" s="39"/>
    </row>
    <row r="108" spans="1:12" x14ac:dyDescent="0.25">
      <c r="A108">
        <v>0</v>
      </c>
      <c r="B108" s="184">
        <v>43306</v>
      </c>
      <c r="C108" s="7">
        <v>400</v>
      </c>
      <c r="D108" s="43">
        <v>17.576000000000001</v>
      </c>
      <c r="E108" s="39">
        <v>28.65</v>
      </c>
      <c r="F108" s="39">
        <f t="shared" si="22"/>
        <v>4429.5999999999995</v>
      </c>
      <c r="G108" s="39">
        <f t="shared" si="23"/>
        <v>7030.4000000000005</v>
      </c>
      <c r="H108" s="222">
        <f t="shared" si="24"/>
        <v>0.63006372325898941</v>
      </c>
      <c r="I108" s="39">
        <v>17.5</v>
      </c>
      <c r="J108" s="39"/>
      <c r="K108" s="39">
        <v>5882</v>
      </c>
      <c r="L108" s="39"/>
    </row>
    <row r="109" spans="1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1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  <row r="111" spans="1:12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39"/>
    </row>
    <row r="112" spans="1:12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39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39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39"/>
    </row>
    <row r="116" spans="2:12" x14ac:dyDescent="0.25">
      <c r="B116" s="484" t="s">
        <v>113</v>
      </c>
      <c r="C116" s="484" t="s">
        <v>146</v>
      </c>
      <c r="D116" s="485" t="s">
        <v>145</v>
      </c>
      <c r="E116" s="486" t="s">
        <v>147</v>
      </c>
      <c r="F116" s="486" t="s">
        <v>65</v>
      </c>
      <c r="G116" s="488" t="s">
        <v>151</v>
      </c>
      <c r="H116" s="488" t="s">
        <v>88</v>
      </c>
      <c r="I116" s="488" t="s">
        <v>154</v>
      </c>
    </row>
    <row r="117" spans="2:12" x14ac:dyDescent="0.25">
      <c r="B117" s="361">
        <v>42548</v>
      </c>
      <c r="C117" s="362">
        <v>100</v>
      </c>
      <c r="D117" s="363">
        <v>25</v>
      </c>
      <c r="E117" s="363">
        <v>24.69</v>
      </c>
      <c r="F117" s="363">
        <f t="shared" ref="F117:F122" si="25">C117*(E117-D117)</f>
        <v>-30.999999999999872</v>
      </c>
      <c r="G117" s="363">
        <f t="shared" ref="G117:G122" si="26">D117*C117</f>
        <v>2500</v>
      </c>
      <c r="H117" s="364">
        <f t="shared" ref="H117:H122" si="27">(E117-D117)/D117</f>
        <v>-1.2399999999999949E-2</v>
      </c>
      <c r="I117" s="363"/>
    </row>
    <row r="118" spans="2:12" x14ac:dyDescent="0.25">
      <c r="B118" s="361">
        <v>42549</v>
      </c>
      <c r="C118" s="362">
        <v>100</v>
      </c>
      <c r="D118" s="363">
        <v>25</v>
      </c>
      <c r="E118" s="363">
        <v>25.26</v>
      </c>
      <c r="F118" s="363">
        <f t="shared" si="25"/>
        <v>26.000000000000156</v>
      </c>
      <c r="G118" s="363">
        <f t="shared" si="26"/>
        <v>2500</v>
      </c>
      <c r="H118" s="364">
        <f t="shared" si="27"/>
        <v>1.0400000000000062E-2</v>
      </c>
      <c r="I118" s="363"/>
    </row>
    <row r="119" spans="2:12" x14ac:dyDescent="0.25">
      <c r="B119" s="361">
        <v>42552</v>
      </c>
      <c r="C119" s="362">
        <v>100</v>
      </c>
      <c r="D119" s="363">
        <v>25</v>
      </c>
      <c r="E119" s="363">
        <v>26.57</v>
      </c>
      <c r="F119" s="363">
        <f t="shared" si="25"/>
        <v>157.00000000000003</v>
      </c>
      <c r="G119" s="363">
        <f t="shared" si="26"/>
        <v>2500</v>
      </c>
      <c r="H119" s="364">
        <f t="shared" si="27"/>
        <v>6.2800000000000009E-2</v>
      </c>
      <c r="I119" s="363"/>
    </row>
    <row r="120" spans="2:12" x14ac:dyDescent="0.25">
      <c r="B120" s="361">
        <v>42556</v>
      </c>
      <c r="C120" s="362">
        <v>100</v>
      </c>
      <c r="D120" s="363">
        <v>25</v>
      </c>
      <c r="E120" s="363">
        <v>25.47</v>
      </c>
      <c r="F120" s="363">
        <f t="shared" si="25"/>
        <v>46.999999999999886</v>
      </c>
      <c r="G120" s="363">
        <f t="shared" si="26"/>
        <v>2500</v>
      </c>
      <c r="H120" s="364">
        <f t="shared" si="27"/>
        <v>1.8799999999999956E-2</v>
      </c>
      <c r="I120" s="363"/>
    </row>
    <row r="121" spans="2:12" x14ac:dyDescent="0.25">
      <c r="B121" s="361">
        <v>42562</v>
      </c>
      <c r="C121" s="362">
        <v>100</v>
      </c>
      <c r="D121" s="363">
        <v>25</v>
      </c>
      <c r="E121" s="363">
        <v>25.69</v>
      </c>
      <c r="F121" s="363">
        <f t="shared" si="25"/>
        <v>69.000000000000128</v>
      </c>
      <c r="G121" s="363">
        <f t="shared" si="26"/>
        <v>2500</v>
      </c>
      <c r="H121" s="364">
        <f t="shared" si="27"/>
        <v>2.7600000000000052E-2</v>
      </c>
      <c r="I121" s="363"/>
    </row>
    <row r="122" spans="2:12" x14ac:dyDescent="0.25">
      <c r="B122" s="361">
        <v>42563</v>
      </c>
      <c r="C122" s="362">
        <v>100</v>
      </c>
      <c r="D122" s="363">
        <v>25</v>
      </c>
      <c r="E122" s="363">
        <v>26.48</v>
      </c>
      <c r="F122" s="363">
        <f t="shared" si="25"/>
        <v>148.00000000000006</v>
      </c>
      <c r="G122" s="363">
        <f t="shared" si="26"/>
        <v>2500</v>
      </c>
      <c r="H122" s="364">
        <f t="shared" si="27"/>
        <v>5.9200000000000016E-2</v>
      </c>
      <c r="I122" s="363"/>
    </row>
    <row r="123" spans="2:12" x14ac:dyDescent="0.25">
      <c r="B123" s="361">
        <v>42569</v>
      </c>
      <c r="C123" s="362">
        <v>100</v>
      </c>
      <c r="D123" s="363">
        <v>25</v>
      </c>
      <c r="E123" s="363">
        <v>29.28</v>
      </c>
      <c r="F123" s="363">
        <f t="shared" ref="F123:F129" si="28">C123*(E123-D123)</f>
        <v>428.00000000000011</v>
      </c>
      <c r="G123" s="363">
        <f t="shared" ref="G123:G129" si="29">D123*C123</f>
        <v>2500</v>
      </c>
      <c r="H123" s="364">
        <f t="shared" ref="H123:H129" si="30">(E123-D123)/D123</f>
        <v>0.17120000000000005</v>
      </c>
      <c r="I123" s="363"/>
    </row>
    <row r="124" spans="2:12" x14ac:dyDescent="0.25">
      <c r="B124" s="361">
        <v>42570</v>
      </c>
      <c r="C124" s="362">
        <v>100</v>
      </c>
      <c r="D124" s="363">
        <v>25</v>
      </c>
      <c r="E124" s="363">
        <v>28.68</v>
      </c>
      <c r="F124" s="363">
        <f t="shared" si="28"/>
        <v>368</v>
      </c>
      <c r="G124" s="363">
        <f t="shared" si="29"/>
        <v>2500</v>
      </c>
      <c r="H124" s="364">
        <f t="shared" si="30"/>
        <v>0.1472</v>
      </c>
      <c r="I124" s="363"/>
    </row>
    <row r="125" spans="2:12" x14ac:dyDescent="0.25">
      <c r="B125" s="361">
        <v>42571</v>
      </c>
      <c r="C125" s="362">
        <v>100</v>
      </c>
      <c r="D125" s="363">
        <v>25</v>
      </c>
      <c r="E125" s="363">
        <v>29.01</v>
      </c>
      <c r="F125" s="363">
        <f t="shared" si="28"/>
        <v>401.00000000000017</v>
      </c>
      <c r="G125" s="363">
        <f t="shared" si="29"/>
        <v>2500</v>
      </c>
      <c r="H125" s="364">
        <f t="shared" si="30"/>
        <v>0.16040000000000007</v>
      </c>
      <c r="I125" s="363"/>
    </row>
    <row r="126" spans="2:12" x14ac:dyDescent="0.25">
      <c r="B126" s="361">
        <v>42572</v>
      </c>
      <c r="C126" s="362">
        <v>100</v>
      </c>
      <c r="D126" s="363">
        <v>25</v>
      </c>
      <c r="E126" s="363">
        <v>28.89</v>
      </c>
      <c r="F126" s="363">
        <f t="shared" si="28"/>
        <v>389.00000000000006</v>
      </c>
      <c r="G126" s="363">
        <f t="shared" si="29"/>
        <v>2500</v>
      </c>
      <c r="H126" s="364">
        <f t="shared" si="30"/>
        <v>0.15560000000000002</v>
      </c>
      <c r="I126" s="363"/>
    </row>
    <row r="127" spans="2:12" x14ac:dyDescent="0.25">
      <c r="B127" s="361">
        <v>42576</v>
      </c>
      <c r="C127" s="362">
        <v>100</v>
      </c>
      <c r="D127" s="363">
        <v>25</v>
      </c>
      <c r="E127" s="363">
        <v>28.63</v>
      </c>
      <c r="F127" s="363">
        <f t="shared" si="28"/>
        <v>362.99999999999989</v>
      </c>
      <c r="G127" s="363">
        <f t="shared" si="29"/>
        <v>2500</v>
      </c>
      <c r="H127" s="364">
        <f t="shared" si="30"/>
        <v>0.14519999999999997</v>
      </c>
      <c r="I127" s="363"/>
    </row>
    <row r="128" spans="2:12" x14ac:dyDescent="0.25">
      <c r="B128" s="361">
        <v>42577</v>
      </c>
      <c r="C128" s="362">
        <v>100</v>
      </c>
      <c r="D128" s="363">
        <v>25</v>
      </c>
      <c r="E128" s="363">
        <v>29.34</v>
      </c>
      <c r="F128" s="363">
        <f t="shared" si="28"/>
        <v>434</v>
      </c>
      <c r="G128" s="363">
        <f t="shared" si="29"/>
        <v>2500</v>
      </c>
      <c r="H128" s="364">
        <f t="shared" si="30"/>
        <v>0.1736</v>
      </c>
      <c r="I128" s="363"/>
    </row>
    <row r="129" spans="2:9" x14ac:dyDescent="0.25">
      <c r="B129" s="361">
        <v>42580</v>
      </c>
      <c r="C129" s="362">
        <v>100</v>
      </c>
      <c r="D129" s="363">
        <v>25</v>
      </c>
      <c r="E129" s="363">
        <v>27</v>
      </c>
      <c r="F129" s="363">
        <f t="shared" si="28"/>
        <v>200</v>
      </c>
      <c r="G129" s="363">
        <f t="shared" si="29"/>
        <v>2500</v>
      </c>
      <c r="H129" s="364">
        <f t="shared" si="30"/>
        <v>0.08</v>
      </c>
      <c r="I129" s="363"/>
    </row>
    <row r="130" spans="2:9" x14ac:dyDescent="0.25">
      <c r="B130" s="361">
        <v>42584</v>
      </c>
      <c r="C130" s="362">
        <v>0</v>
      </c>
      <c r="D130" s="363"/>
      <c r="E130" s="363"/>
      <c r="F130" s="363">
        <v>287.94</v>
      </c>
      <c r="G130" s="363"/>
      <c r="H130" s="364"/>
      <c r="I130" s="36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2" t="s">
        <v>113</v>
      </c>
      <c r="C132" s="182" t="s">
        <v>146</v>
      </c>
      <c r="D132" s="183" t="s">
        <v>145</v>
      </c>
      <c r="E132" s="185" t="s">
        <v>147</v>
      </c>
      <c r="F132" s="185" t="s">
        <v>65</v>
      </c>
      <c r="G132" s="220" t="s">
        <v>151</v>
      </c>
      <c r="H132" s="220" t="s">
        <v>88</v>
      </c>
      <c r="I132" s="220" t="s">
        <v>154</v>
      </c>
    </row>
    <row r="133" spans="2:9" x14ac:dyDescent="0.25">
      <c r="B133" s="255">
        <v>42627</v>
      </c>
      <c r="C133" s="250">
        <v>50</v>
      </c>
      <c r="D133" s="251">
        <v>25.74</v>
      </c>
      <c r="E133" s="251">
        <v>25.83</v>
      </c>
      <c r="F133" s="251">
        <f>C133*(E133-D133)</f>
        <v>4.4999999999999929</v>
      </c>
      <c r="G133" s="251">
        <f>D133*C133</f>
        <v>1287</v>
      </c>
      <c r="H133" s="265">
        <f>(E133-D133)/D133</f>
        <v>3.4965034965034913E-3</v>
      </c>
      <c r="I133" s="251"/>
    </row>
    <row r="134" spans="2:9" x14ac:dyDescent="0.25">
      <c r="B134" s="255">
        <v>42629</v>
      </c>
      <c r="C134" s="250">
        <v>50</v>
      </c>
      <c r="D134" s="251">
        <v>25.74</v>
      </c>
      <c r="E134" s="251">
        <v>25.54</v>
      </c>
      <c r="F134" s="251">
        <f t="shared" ref="F134:F139" si="31">C134*(E134-D134)</f>
        <v>-9.9999999999999645</v>
      </c>
      <c r="G134" s="251">
        <f t="shared" ref="G134:G139" si="32">D134*C134</f>
        <v>1287</v>
      </c>
      <c r="H134" s="265">
        <f t="shared" ref="H134:H139" si="33">(E134-D134)/D134</f>
        <v>-7.7700077700077431E-3</v>
      </c>
      <c r="I134" s="251"/>
    </row>
    <row r="135" spans="2:9" x14ac:dyDescent="0.25">
      <c r="B135" s="255">
        <v>42636</v>
      </c>
      <c r="C135" s="250">
        <v>50</v>
      </c>
      <c r="D135" s="251">
        <v>25.74</v>
      </c>
      <c r="E135" s="251">
        <v>24.82</v>
      </c>
      <c r="F135" s="251">
        <f t="shared" si="31"/>
        <v>-45.999999999999908</v>
      </c>
      <c r="G135" s="251">
        <f t="shared" si="32"/>
        <v>1287</v>
      </c>
      <c r="H135" s="265">
        <f t="shared" si="33"/>
        <v>-3.5742035742035674E-2</v>
      </c>
      <c r="I135" s="251"/>
    </row>
    <row r="136" spans="2:9" x14ac:dyDescent="0.25">
      <c r="B136" s="255">
        <v>42639</v>
      </c>
      <c r="C136" s="250">
        <v>100</v>
      </c>
      <c r="D136" s="251">
        <v>24.96</v>
      </c>
      <c r="E136" s="251">
        <v>24.14</v>
      </c>
      <c r="F136" s="251">
        <f t="shared" si="31"/>
        <v>-82.000000000000028</v>
      </c>
      <c r="G136" s="251">
        <f t="shared" si="32"/>
        <v>2496</v>
      </c>
      <c r="H136" s="265">
        <f t="shared" si="33"/>
        <v>-3.2852564102564111E-2</v>
      </c>
      <c r="I136" s="251"/>
    </row>
    <row r="137" spans="2:9" x14ac:dyDescent="0.25">
      <c r="B137" s="255">
        <v>42639</v>
      </c>
      <c r="C137" s="250">
        <v>150</v>
      </c>
      <c r="D137" s="251">
        <v>24.8</v>
      </c>
      <c r="E137" s="251">
        <v>24.14</v>
      </c>
      <c r="F137" s="251">
        <f t="shared" si="31"/>
        <v>-99.000000000000028</v>
      </c>
      <c r="G137" s="251">
        <f t="shared" si="32"/>
        <v>3720</v>
      </c>
      <c r="H137" s="265">
        <f t="shared" si="33"/>
        <v>-2.6612903225806457E-2</v>
      </c>
      <c r="I137" s="251"/>
    </row>
    <row r="138" spans="2:9" x14ac:dyDescent="0.25">
      <c r="B138" s="255">
        <v>42640</v>
      </c>
      <c r="C138" s="250">
        <v>150</v>
      </c>
      <c r="D138" s="251">
        <v>24.8</v>
      </c>
      <c r="E138" s="251">
        <v>23.99</v>
      </c>
      <c r="F138" s="251">
        <f t="shared" si="31"/>
        <v>-121.50000000000034</v>
      </c>
      <c r="G138" s="251">
        <f t="shared" si="32"/>
        <v>3720</v>
      </c>
      <c r="H138" s="265">
        <f t="shared" si="33"/>
        <v>-3.2661290322580736E-2</v>
      </c>
      <c r="I138" s="251"/>
    </row>
    <row r="139" spans="2:9" x14ac:dyDescent="0.25">
      <c r="B139" s="255">
        <v>42643</v>
      </c>
      <c r="C139" s="250">
        <v>150</v>
      </c>
      <c r="D139" s="251">
        <v>24.8</v>
      </c>
      <c r="E139" s="251">
        <v>24.46</v>
      </c>
      <c r="F139" s="251">
        <f t="shared" si="31"/>
        <v>-50.999999999999979</v>
      </c>
      <c r="G139" s="251">
        <f t="shared" si="32"/>
        <v>3720</v>
      </c>
      <c r="H139" s="265">
        <f t="shared" si="33"/>
        <v>-1.3709677419354832E-2</v>
      </c>
      <c r="I139" s="251"/>
    </row>
    <row r="140" spans="2:9" x14ac:dyDescent="0.25">
      <c r="B140" s="255">
        <v>42646</v>
      </c>
      <c r="C140" s="250">
        <v>150</v>
      </c>
      <c r="D140" s="251">
        <v>24.8</v>
      </c>
      <c r="E140" s="251">
        <v>24.89</v>
      </c>
      <c r="F140" s="251">
        <f t="shared" ref="F140:F151" si="34">C140*(E140-D140)</f>
        <v>13.499999999999979</v>
      </c>
      <c r="G140" s="251">
        <f t="shared" ref="G140:G151" si="35">D140*C140</f>
        <v>3720</v>
      </c>
      <c r="H140" s="265">
        <f t="shared" ref="H140:H151" si="36">(E140-D140)/D140</f>
        <v>3.6290322580645102E-3</v>
      </c>
      <c r="I140" s="251"/>
    </row>
    <row r="141" spans="2:9" x14ac:dyDescent="0.25">
      <c r="B141" s="255">
        <v>42648</v>
      </c>
      <c r="C141" s="250">
        <v>150</v>
      </c>
      <c r="D141" s="251">
        <v>24.8</v>
      </c>
      <c r="E141" s="251">
        <v>25.07</v>
      </c>
      <c r="F141" s="251">
        <f t="shared" si="34"/>
        <v>40.499999999999936</v>
      </c>
      <c r="G141" s="251">
        <f t="shared" si="35"/>
        <v>3720</v>
      </c>
      <c r="H141" s="265">
        <f t="shared" si="36"/>
        <v>1.0887096774193531E-2</v>
      </c>
      <c r="I141" s="251"/>
    </row>
    <row r="142" spans="2:9" x14ac:dyDescent="0.25">
      <c r="B142" s="255">
        <v>42649</v>
      </c>
      <c r="C142" s="250">
        <v>150</v>
      </c>
      <c r="D142" s="251">
        <v>24.8</v>
      </c>
      <c r="E142" s="251">
        <v>24.85</v>
      </c>
      <c r="F142" s="251">
        <f t="shared" si="34"/>
        <v>7.5000000000001066</v>
      </c>
      <c r="G142" s="251">
        <f t="shared" si="35"/>
        <v>3720</v>
      </c>
      <c r="H142" s="265">
        <f t="shared" si="36"/>
        <v>2.0161290322580931E-3</v>
      </c>
      <c r="I142" s="251"/>
    </row>
    <row r="143" spans="2:9" x14ac:dyDescent="0.25">
      <c r="B143" s="255">
        <v>42650</v>
      </c>
      <c r="C143" s="250">
        <v>150</v>
      </c>
      <c r="D143" s="251">
        <v>24.8</v>
      </c>
      <c r="E143" s="251">
        <v>24.58</v>
      </c>
      <c r="F143" s="251">
        <f t="shared" si="34"/>
        <v>-33.000000000000362</v>
      </c>
      <c r="G143" s="251">
        <f t="shared" si="35"/>
        <v>3720</v>
      </c>
      <c r="H143" s="265">
        <f t="shared" si="36"/>
        <v>-8.8709677419355811E-3</v>
      </c>
      <c r="I143" s="251"/>
    </row>
    <row r="144" spans="2:9" x14ac:dyDescent="0.25">
      <c r="B144" s="255">
        <v>42661</v>
      </c>
      <c r="C144" s="250">
        <v>150</v>
      </c>
      <c r="D144" s="251">
        <v>24.8</v>
      </c>
      <c r="E144" s="251">
        <v>23.39</v>
      </c>
      <c r="F144" s="251">
        <f t="shared" si="34"/>
        <v>-211.50000000000003</v>
      </c>
      <c r="G144" s="251">
        <f t="shared" si="35"/>
        <v>3720</v>
      </c>
      <c r="H144" s="265">
        <f t="shared" si="36"/>
        <v>-5.6854838709677426E-2</v>
      </c>
      <c r="I144" s="251"/>
    </row>
    <row r="145" spans="1:13" x14ac:dyDescent="0.25">
      <c r="B145" s="255">
        <v>42662</v>
      </c>
      <c r="C145" s="250">
        <v>150</v>
      </c>
      <c r="D145" s="251">
        <v>24.8</v>
      </c>
      <c r="E145" s="251">
        <v>23.84</v>
      </c>
      <c r="F145" s="251">
        <f t="shared" si="34"/>
        <v>-144.00000000000011</v>
      </c>
      <c r="G145" s="251">
        <f t="shared" si="35"/>
        <v>3720</v>
      </c>
      <c r="H145" s="265">
        <f t="shared" si="36"/>
        <v>-3.8709677419354875E-2</v>
      </c>
      <c r="I145" s="251"/>
    </row>
    <row r="146" spans="1:13" x14ac:dyDescent="0.25">
      <c r="B146" s="255">
        <v>42664</v>
      </c>
      <c r="C146" s="250">
        <v>150</v>
      </c>
      <c r="D146" s="251">
        <v>24.8</v>
      </c>
      <c r="E146" s="251">
        <v>24.31</v>
      </c>
      <c r="F146" s="251">
        <f t="shared" si="34"/>
        <v>-73.500000000000298</v>
      </c>
      <c r="G146" s="251">
        <f t="shared" si="35"/>
        <v>3720</v>
      </c>
      <c r="H146" s="265">
        <f t="shared" si="36"/>
        <v>-1.975806451612911E-2</v>
      </c>
      <c r="I146" s="251"/>
    </row>
    <row r="147" spans="1:13" x14ac:dyDescent="0.25">
      <c r="B147" s="255">
        <v>42670</v>
      </c>
      <c r="C147" s="250">
        <v>150</v>
      </c>
      <c r="D147" s="251">
        <v>24.626899999999999</v>
      </c>
      <c r="E147" s="251">
        <v>23.93</v>
      </c>
      <c r="F147" s="251">
        <f t="shared" si="34"/>
        <v>-104.53499999999991</v>
      </c>
      <c r="G147" s="251">
        <f t="shared" si="35"/>
        <v>3694.0349999999999</v>
      </c>
      <c r="H147" s="265">
        <f t="shared" si="36"/>
        <v>-2.8298324190214743E-2</v>
      </c>
      <c r="I147" s="251"/>
    </row>
    <row r="148" spans="1:13" x14ac:dyDescent="0.25">
      <c r="B148" s="255">
        <v>42674</v>
      </c>
      <c r="C148" s="250">
        <v>150</v>
      </c>
      <c r="D148" s="251">
        <v>24.626899999999999</v>
      </c>
      <c r="E148" s="251">
        <v>23.53</v>
      </c>
      <c r="F148" s="251">
        <f t="shared" si="34"/>
        <v>-164.53499999999968</v>
      </c>
      <c r="G148" s="251">
        <f t="shared" si="35"/>
        <v>3694.0349999999999</v>
      </c>
      <c r="H148" s="265">
        <f t="shared" si="36"/>
        <v>-4.4540725791715481E-2</v>
      </c>
      <c r="I148" s="251"/>
    </row>
    <row r="149" spans="1:13" x14ac:dyDescent="0.25">
      <c r="B149" s="255">
        <v>42675</v>
      </c>
      <c r="C149" s="250">
        <v>150</v>
      </c>
      <c r="D149" s="251">
        <v>24.264700000000001</v>
      </c>
      <c r="E149" s="251">
        <v>24.32</v>
      </c>
      <c r="F149" s="251">
        <f t="shared" si="34"/>
        <v>8.2949999999998525</v>
      </c>
      <c r="G149" s="251">
        <f t="shared" si="35"/>
        <v>3639.7050000000004</v>
      </c>
      <c r="H149" s="265">
        <f t="shared" si="36"/>
        <v>2.2790308555225912E-3</v>
      </c>
      <c r="I149" s="251"/>
    </row>
    <row r="150" spans="1:13" x14ac:dyDescent="0.25">
      <c r="B150" s="255">
        <v>42676</v>
      </c>
      <c r="C150" s="250">
        <v>150</v>
      </c>
      <c r="D150" s="251">
        <v>24.264700000000001</v>
      </c>
      <c r="E150" s="251">
        <v>24.73</v>
      </c>
      <c r="F150" s="251">
        <f t="shared" si="34"/>
        <v>69.794999999999874</v>
      </c>
      <c r="G150" s="251">
        <f t="shared" si="35"/>
        <v>3639.7050000000004</v>
      </c>
      <c r="H150" s="265">
        <f t="shared" si="36"/>
        <v>1.9176004648728363E-2</v>
      </c>
      <c r="I150" s="251"/>
    </row>
    <row r="151" spans="1:13" x14ac:dyDescent="0.25">
      <c r="B151" s="255">
        <v>42704</v>
      </c>
      <c r="C151" s="250">
        <v>100</v>
      </c>
      <c r="D151" s="251">
        <v>22.507400000000001</v>
      </c>
      <c r="E151" s="251">
        <v>28.4</v>
      </c>
      <c r="F151" s="251">
        <f t="shared" si="34"/>
        <v>589.25999999999976</v>
      </c>
      <c r="G151" s="251">
        <f t="shared" si="35"/>
        <v>2250.7400000000002</v>
      </c>
      <c r="H151" s="265">
        <f t="shared" si="36"/>
        <v>0.26180722784506422</v>
      </c>
      <c r="I151" s="251"/>
    </row>
    <row r="152" spans="1:13" x14ac:dyDescent="0.25">
      <c r="B152" s="255">
        <v>42711</v>
      </c>
      <c r="C152" s="250">
        <v>0</v>
      </c>
      <c r="D152" s="251"/>
      <c r="E152" s="251"/>
      <c r="F152" s="251">
        <v>727.2</v>
      </c>
      <c r="G152" s="251"/>
      <c r="H152" s="265"/>
      <c r="I152" s="251"/>
    </row>
    <row r="153" spans="1:13" x14ac:dyDescent="0.25">
      <c r="B153" s="184"/>
      <c r="C153" s="10"/>
      <c r="D153" s="39"/>
      <c r="E153" s="39"/>
      <c r="F153" s="39"/>
      <c r="G153" s="39"/>
      <c r="H153" s="222"/>
      <c r="I153" s="39"/>
    </row>
    <row r="154" spans="1:13" x14ac:dyDescent="0.25">
      <c r="B154" s="184"/>
      <c r="C154" s="10"/>
      <c r="D154" s="39"/>
      <c r="E154" s="39"/>
      <c r="F154" s="39"/>
      <c r="G154" s="39"/>
      <c r="H154" s="222"/>
      <c r="I154" s="39"/>
    </row>
    <row r="155" spans="1:13" x14ac:dyDescent="0.25">
      <c r="B155" s="184"/>
      <c r="C155" s="10"/>
      <c r="D155" s="39"/>
      <c r="E155" s="39"/>
      <c r="F155" s="39"/>
      <c r="G155" s="39"/>
      <c r="H155" s="222"/>
      <c r="I155" s="39"/>
    </row>
    <row r="159" spans="1:13" x14ac:dyDescent="0.25">
      <c r="L159" t="s">
        <v>65</v>
      </c>
      <c r="M159" s="2">
        <f>K177+M177-F177</f>
        <v>1452.2599999999984</v>
      </c>
    </row>
    <row r="160" spans="1:13" x14ac:dyDescent="0.25">
      <c r="A160" s="449" t="s">
        <v>1</v>
      </c>
      <c r="B160" s="449" t="s">
        <v>2</v>
      </c>
      <c r="C160" s="449" t="s">
        <v>4</v>
      </c>
      <c r="D160" s="450" t="s">
        <v>5</v>
      </c>
      <c r="E160" s="450" t="s">
        <v>94</v>
      </c>
      <c r="F160" s="450" t="s">
        <v>60</v>
      </c>
      <c r="G160" s="449" t="s">
        <v>3</v>
      </c>
      <c r="H160" s="449" t="s">
        <v>6</v>
      </c>
      <c r="I160" s="450" t="s">
        <v>7</v>
      </c>
      <c r="J160" s="450" t="s">
        <v>95</v>
      </c>
      <c r="K160" s="450" t="s">
        <v>61</v>
      </c>
      <c r="L160" s="449" t="s">
        <v>37</v>
      </c>
      <c r="M160" s="449" t="s">
        <v>38</v>
      </c>
    </row>
    <row r="161" spans="1:13" x14ac:dyDescent="0.25">
      <c r="A161" s="451" t="s">
        <v>224</v>
      </c>
      <c r="B161" s="452">
        <v>42548</v>
      </c>
      <c r="C161" s="453">
        <v>100</v>
      </c>
      <c r="D161" s="454">
        <v>25</v>
      </c>
      <c r="E161" s="454">
        <v>0</v>
      </c>
      <c r="F161" s="454">
        <f>D161*C161+E161</f>
        <v>2500</v>
      </c>
      <c r="G161" s="452">
        <v>42584</v>
      </c>
      <c r="H161" s="455">
        <v>100</v>
      </c>
      <c r="I161" s="454">
        <v>27.88</v>
      </c>
      <c r="J161" s="454">
        <v>0.06</v>
      </c>
      <c r="K161" s="454">
        <f>H161*I161-J161</f>
        <v>2787.94</v>
      </c>
      <c r="L161" s="452">
        <v>42719</v>
      </c>
      <c r="M161" s="453">
        <v>41.25</v>
      </c>
    </row>
    <row r="162" spans="1:13" x14ac:dyDescent="0.25">
      <c r="A162" s="456" t="s">
        <v>71</v>
      </c>
      <c r="B162" s="452">
        <v>42627</v>
      </c>
      <c r="C162" s="453">
        <v>50</v>
      </c>
      <c r="D162" s="454">
        <v>25.74</v>
      </c>
      <c r="E162" s="454">
        <v>0</v>
      </c>
      <c r="F162" s="454">
        <v>1287</v>
      </c>
      <c r="G162" s="452" t="s">
        <v>332</v>
      </c>
      <c r="H162" s="455">
        <v>50</v>
      </c>
      <c r="I162" s="454">
        <v>25</v>
      </c>
      <c r="J162" s="454">
        <v>0.03</v>
      </c>
      <c r="K162" s="454">
        <v>1249.97</v>
      </c>
      <c r="L162" s="453"/>
      <c r="M162" s="453"/>
    </row>
    <row r="163" spans="1:13" x14ac:dyDescent="0.25">
      <c r="A163" s="453"/>
      <c r="B163" s="452">
        <v>42639</v>
      </c>
      <c r="C163" s="453">
        <v>50</v>
      </c>
      <c r="D163" s="454">
        <v>24.48</v>
      </c>
      <c r="E163" s="454">
        <v>0</v>
      </c>
      <c r="F163" s="454">
        <v>1224</v>
      </c>
      <c r="G163" s="452" t="s">
        <v>332</v>
      </c>
      <c r="H163" s="455">
        <v>100</v>
      </c>
      <c r="I163" s="454">
        <v>24.88</v>
      </c>
      <c r="J163" s="454">
        <v>0.05</v>
      </c>
      <c r="K163" s="454">
        <v>2487.9499999999998</v>
      </c>
      <c r="L163" s="453"/>
      <c r="M163" s="453"/>
    </row>
    <row r="164" spans="1:13" x14ac:dyDescent="0.25">
      <c r="A164" s="453"/>
      <c r="B164" s="452">
        <v>42639</v>
      </c>
      <c r="C164" s="453">
        <v>50</v>
      </c>
      <c r="D164" s="454">
        <v>24.18</v>
      </c>
      <c r="E164" s="454">
        <v>0</v>
      </c>
      <c r="F164" s="454">
        <v>1209</v>
      </c>
      <c r="G164" s="452" t="s">
        <v>332</v>
      </c>
      <c r="H164" s="455">
        <v>50</v>
      </c>
      <c r="I164" s="454">
        <v>27.78</v>
      </c>
      <c r="J164" s="454">
        <v>0.03</v>
      </c>
      <c r="K164" s="454">
        <v>1388.97</v>
      </c>
      <c r="L164" s="453"/>
      <c r="M164" s="453"/>
    </row>
    <row r="165" spans="1:13" x14ac:dyDescent="0.25">
      <c r="A165" s="453"/>
      <c r="B165" s="452">
        <v>42670</v>
      </c>
      <c r="C165" s="453">
        <v>50</v>
      </c>
      <c r="D165" s="454">
        <v>24.48</v>
      </c>
      <c r="E165" s="454">
        <v>0</v>
      </c>
      <c r="F165" s="454">
        <v>1224</v>
      </c>
      <c r="G165" s="452" t="s">
        <v>332</v>
      </c>
      <c r="H165" s="455">
        <v>100</v>
      </c>
      <c r="I165" s="454">
        <v>29.78</v>
      </c>
      <c r="J165" s="454">
        <v>0.06</v>
      </c>
      <c r="K165" s="454">
        <v>2977.94</v>
      </c>
      <c r="L165" s="453"/>
      <c r="M165" s="453"/>
    </row>
    <row r="166" spans="1:13" x14ac:dyDescent="0.25">
      <c r="A166" s="453"/>
      <c r="B166" s="452" t="s">
        <v>332</v>
      </c>
      <c r="C166" s="453">
        <v>100</v>
      </c>
      <c r="D166" s="454">
        <v>24.34</v>
      </c>
      <c r="E166" s="454">
        <v>-0.37</v>
      </c>
      <c r="F166" s="454">
        <v>2433.63</v>
      </c>
      <c r="G166" s="453"/>
      <c r="H166" s="455"/>
      <c r="I166" s="454"/>
      <c r="J166" s="454"/>
      <c r="K166" s="454"/>
      <c r="L166" s="453"/>
      <c r="M166" s="453"/>
    </row>
    <row r="167" spans="1:13" x14ac:dyDescent="0.25">
      <c r="A167" s="453"/>
      <c r="B167" s="496">
        <v>42723</v>
      </c>
      <c r="C167" s="497">
        <v>100</v>
      </c>
      <c r="D167" s="499">
        <v>27.98</v>
      </c>
      <c r="E167" s="499">
        <v>0</v>
      </c>
      <c r="F167" s="499">
        <f>D167*C167+E167</f>
        <v>2798</v>
      </c>
      <c r="G167" s="496">
        <v>42724</v>
      </c>
      <c r="H167" s="497">
        <v>100</v>
      </c>
      <c r="I167" s="499">
        <v>27.94</v>
      </c>
      <c r="J167" s="499">
        <v>0.06</v>
      </c>
      <c r="K167" s="499">
        <f>I167*H167-J167</f>
        <v>2793.94</v>
      </c>
      <c r="L167" s="453"/>
      <c r="M167" s="453"/>
    </row>
    <row r="168" spans="1:13" x14ac:dyDescent="0.25">
      <c r="A168" s="453"/>
      <c r="B168" s="434">
        <v>42724</v>
      </c>
      <c r="C168" s="7">
        <v>100</v>
      </c>
      <c r="D168" s="43">
        <v>27.58</v>
      </c>
      <c r="E168" s="43">
        <v>0</v>
      </c>
      <c r="F168" s="43">
        <f>D168*C168+E168</f>
        <v>2758</v>
      </c>
      <c r="G168" s="434">
        <v>42758</v>
      </c>
      <c r="H168" s="80">
        <v>100</v>
      </c>
      <c r="I168" s="43">
        <v>31.58</v>
      </c>
      <c r="J168" s="43">
        <v>7.0000000000000007E-2</v>
      </c>
      <c r="K168" s="43">
        <f>H168*I168-J168</f>
        <v>3157.93</v>
      </c>
      <c r="L168" s="453"/>
      <c r="M168" s="453"/>
    </row>
    <row r="169" spans="1:13" x14ac:dyDescent="0.25">
      <c r="A169" s="453"/>
      <c r="B169" s="453"/>
      <c r="C169" s="453"/>
      <c r="D169" s="454"/>
      <c r="E169" s="454"/>
      <c r="F169" s="454"/>
      <c r="G169" s="453"/>
      <c r="H169" s="455"/>
      <c r="I169" s="454"/>
      <c r="J169" s="454"/>
      <c r="K169" s="454"/>
      <c r="L169" s="453"/>
      <c r="M169" s="453"/>
    </row>
    <row r="170" spans="1:13" x14ac:dyDescent="0.25">
      <c r="A170" s="453"/>
      <c r="B170" s="453"/>
      <c r="C170" s="453"/>
      <c r="D170" s="454"/>
      <c r="E170" s="454"/>
      <c r="F170" s="454"/>
      <c r="G170" s="453"/>
      <c r="H170" s="455"/>
      <c r="I170" s="454"/>
      <c r="J170" s="454"/>
      <c r="K170" s="454"/>
      <c r="L170" s="453"/>
      <c r="M170" s="453"/>
    </row>
    <row r="171" spans="1:13" x14ac:dyDescent="0.25">
      <c r="A171" s="453"/>
      <c r="B171" s="453"/>
      <c r="C171" s="453"/>
      <c r="D171" s="454"/>
      <c r="E171" s="454"/>
      <c r="F171" s="454"/>
      <c r="G171" s="453"/>
      <c r="H171" s="455"/>
      <c r="I171" s="454"/>
      <c r="J171" s="454"/>
      <c r="K171" s="454"/>
      <c r="L171" s="453"/>
      <c r="M171" s="453"/>
    </row>
    <row r="172" spans="1:13" x14ac:dyDescent="0.25">
      <c r="A172" s="453"/>
      <c r="B172" s="453"/>
      <c r="C172" s="453"/>
      <c r="D172" s="454"/>
      <c r="E172" s="454"/>
      <c r="F172" s="454"/>
      <c r="G172" s="453"/>
      <c r="H172" s="455"/>
      <c r="I172" s="454"/>
      <c r="J172" s="454"/>
      <c r="K172" s="454"/>
      <c r="L172" s="453"/>
      <c r="M172" s="453"/>
    </row>
    <row r="173" spans="1:13" x14ac:dyDescent="0.25">
      <c r="A173" s="453"/>
      <c r="B173" s="453"/>
      <c r="C173" s="453"/>
      <c r="D173" s="454"/>
      <c r="E173" s="454"/>
      <c r="F173" s="454"/>
      <c r="G173" s="453"/>
      <c r="H173" s="455"/>
      <c r="I173" s="454"/>
      <c r="J173" s="454"/>
      <c r="K173" s="454"/>
      <c r="L173" s="453"/>
      <c r="M173" s="453"/>
    </row>
    <row r="174" spans="1:13" x14ac:dyDescent="0.25">
      <c r="A174" s="453"/>
      <c r="B174" s="453"/>
      <c r="C174" s="453"/>
      <c r="D174" s="454"/>
      <c r="E174" s="454"/>
      <c r="F174" s="454"/>
      <c r="G174" s="453"/>
      <c r="H174" s="455"/>
      <c r="I174" s="454"/>
      <c r="J174" s="454"/>
      <c r="K174" s="454"/>
      <c r="L174" s="453"/>
      <c r="M174" s="453"/>
    </row>
    <row r="175" spans="1:13" x14ac:dyDescent="0.25">
      <c r="A175" s="453"/>
      <c r="B175" s="453"/>
      <c r="C175" s="453"/>
      <c r="D175" s="454"/>
      <c r="E175" s="454"/>
      <c r="F175" s="454"/>
      <c r="G175" s="453"/>
      <c r="H175" s="455"/>
      <c r="I175" s="454"/>
      <c r="J175" s="454"/>
      <c r="K175" s="454"/>
      <c r="L175" s="453"/>
      <c r="M175" s="453"/>
    </row>
    <row r="176" spans="1:13" x14ac:dyDescent="0.25">
      <c r="A176" s="453"/>
      <c r="B176" s="453"/>
      <c r="C176" s="453"/>
      <c r="D176" s="454"/>
      <c r="E176" s="454"/>
      <c r="F176" s="454"/>
      <c r="G176" s="453"/>
      <c r="H176" s="453"/>
      <c r="I176" s="454"/>
      <c r="J176" s="454"/>
      <c r="K176" s="454"/>
      <c r="L176" s="453"/>
      <c r="M176" s="453"/>
    </row>
    <row r="177" spans="1:13" x14ac:dyDescent="0.25">
      <c r="A177" s="63" t="s">
        <v>81</v>
      </c>
      <c r="B177" s="64"/>
      <c r="C177" s="64">
        <f>SUM(C161:C176)</f>
        <v>600</v>
      </c>
      <c r="D177" s="65"/>
      <c r="E177" s="65"/>
      <c r="F177" s="65">
        <f>SUM(F161:F176)</f>
        <v>15433.630000000001</v>
      </c>
      <c r="G177" s="64"/>
      <c r="H177" s="544">
        <f>SUM(H161:H176)</f>
        <v>600</v>
      </c>
      <c r="I177" s="65"/>
      <c r="J177" s="65"/>
      <c r="K177" s="65">
        <f>SUM(K161:K176)</f>
        <v>16844.64</v>
      </c>
      <c r="L177" s="64"/>
      <c r="M177" s="65">
        <f>SUM(M161:M169)</f>
        <v>41.25</v>
      </c>
    </row>
    <row r="178" spans="1:13" ht="15.75" thickBot="1" x14ac:dyDescent="0.3">
      <c r="A178" s="457" t="s">
        <v>193</v>
      </c>
      <c r="B178" s="458"/>
      <c r="C178" s="459">
        <f>SumByColor($A$33,C161:C176)</f>
        <v>100</v>
      </c>
      <c r="D178" s="459"/>
      <c r="E178" s="459"/>
      <c r="F178" s="460">
        <f>SumByColor($A$33,F161:F176)</f>
        <v>2758</v>
      </c>
      <c r="G178" s="459"/>
      <c r="H178" s="459">
        <f>SumByColor($A$33,H161:H176)</f>
        <v>100</v>
      </c>
      <c r="I178" s="459"/>
      <c r="J178" s="459"/>
      <c r="K178" s="460">
        <f>SumByColor($A$33,K161:K176)</f>
        <v>3158</v>
      </c>
      <c r="L178" s="459"/>
      <c r="M178" s="460">
        <f>SumByColor($A$33,M161:M176)</f>
        <v>0</v>
      </c>
    </row>
  </sheetData>
  <mergeCells count="1">
    <mergeCell ref="O16:P16"/>
  </mergeCells>
  <conditionalFormatting sqref="O17:O37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0:F131 H130:H131 H137:H155 F137:F155 K85:K92 H85:H92 F85:F92 K112:K114 K105:L106 F106 H106 H111:H114 F111:F114 K111:L111">
    <cfRule type="expression" dxfId="1048" priority="80">
      <formula>F85&gt;0</formula>
    </cfRule>
    <cfRule type="expression" dxfId="1047" priority="81">
      <formula>F85&lt;0</formula>
    </cfRule>
  </conditionalFormatting>
  <conditionalFormatting sqref="Q7">
    <cfRule type="expression" dxfId="1046" priority="68">
      <formula>Q7&gt;0</formula>
    </cfRule>
    <cfRule type="expression" dxfId="1045" priority="69">
      <formula>Q7&lt;0</formula>
    </cfRule>
  </conditionalFormatting>
  <conditionalFormatting sqref="Q8">
    <cfRule type="expression" dxfId="1044" priority="66">
      <formula>Q8&gt;0</formula>
    </cfRule>
    <cfRule type="expression" dxfId="1043" priority="67">
      <formula>Q8&lt;0</formula>
    </cfRule>
  </conditionalFormatting>
  <conditionalFormatting sqref="F117:F129">
    <cfRule type="expression" dxfId="1042" priority="64">
      <formula>F117&gt;0</formula>
    </cfRule>
    <cfRule type="expression" dxfId="1041" priority="65">
      <formula>F117&lt;0</formula>
    </cfRule>
  </conditionalFormatting>
  <conditionalFormatting sqref="H117:H129">
    <cfRule type="expression" dxfId="1040" priority="62">
      <formula>H117&gt;0</formula>
    </cfRule>
    <cfRule type="expression" dxfId="1039" priority="63">
      <formula>H117&lt;0</formula>
    </cfRule>
  </conditionalFormatting>
  <conditionalFormatting sqref="H133:H136">
    <cfRule type="expression" dxfId="1038" priority="58">
      <formula>H133&gt;0</formula>
    </cfRule>
    <cfRule type="expression" dxfId="1037" priority="59">
      <formula>H133&lt;0</formula>
    </cfRule>
  </conditionalFormatting>
  <conditionalFormatting sqref="F133:F136">
    <cfRule type="expression" dxfId="1036" priority="60">
      <formula>F133&gt;0</formula>
    </cfRule>
    <cfRule type="expression" dxfId="1035" priority="61">
      <formula>F133&lt;0</formula>
    </cfRule>
  </conditionalFormatting>
  <conditionalFormatting sqref="M159">
    <cfRule type="expression" dxfId="1034" priority="56">
      <formula>M159&gt;0</formula>
    </cfRule>
    <cfRule type="expression" dxfId="1033" priority="57">
      <formula>M159&lt;0</formula>
    </cfRule>
  </conditionalFormatting>
  <conditionalFormatting sqref="F37:F38 F45:F82">
    <cfRule type="expression" dxfId="1032" priority="54">
      <formula>F37&gt;0</formula>
    </cfRule>
    <cfRule type="expression" dxfId="1031" priority="55">
      <formula>F37&lt;0</formula>
    </cfRule>
  </conditionalFormatting>
  <conditionalFormatting sqref="H37:H38 H45:H82">
    <cfRule type="expression" dxfId="1030" priority="52">
      <formula>H37&gt;0</formula>
    </cfRule>
    <cfRule type="expression" dxfId="1029" priority="53">
      <formula>H37&lt;0</formula>
    </cfRule>
  </conditionalFormatting>
  <conditionalFormatting sqref="Q10">
    <cfRule type="expression" dxfId="1028" priority="50">
      <formula>Q10&gt;0</formula>
    </cfRule>
    <cfRule type="expression" dxfId="1027" priority="51">
      <formula>Q10&lt;0</formula>
    </cfRule>
  </conditionalFormatting>
  <conditionalFormatting sqref="F39:F44">
    <cfRule type="expression" dxfId="1026" priority="48">
      <formula>F39&gt;0</formula>
    </cfRule>
    <cfRule type="expression" dxfId="1025" priority="49">
      <formula>F39&lt;0</formula>
    </cfRule>
  </conditionalFormatting>
  <conditionalFormatting sqref="H39:H44">
    <cfRule type="expression" dxfId="1024" priority="46">
      <formula>H39&gt;0</formula>
    </cfRule>
    <cfRule type="expression" dxfId="1023" priority="47">
      <formula>H39&lt;0</formula>
    </cfRule>
  </conditionalFormatting>
  <conditionalFormatting sqref="K42:K49">
    <cfRule type="expression" dxfId="1022" priority="44">
      <formula>K42&gt;0</formula>
    </cfRule>
    <cfRule type="expression" dxfId="1021" priority="45">
      <formula>K42&lt;0</formula>
    </cfRule>
  </conditionalFormatting>
  <conditionalFormatting sqref="K50:K82">
    <cfRule type="expression" dxfId="1020" priority="42">
      <formula>K50&gt;0</formula>
    </cfRule>
    <cfRule type="expression" dxfId="1019" priority="43">
      <formula>K50&lt;0</formula>
    </cfRule>
  </conditionalFormatting>
  <conditionalFormatting sqref="F83:F84">
    <cfRule type="expression" dxfId="1018" priority="39">
      <formula>F83&gt;0</formula>
    </cfRule>
    <cfRule type="expression" dxfId="1017" priority="40">
      <formula>F83&lt;0</formula>
    </cfRule>
  </conditionalFormatting>
  <conditionalFormatting sqref="H83:H84">
    <cfRule type="expression" dxfId="1016" priority="37">
      <formula>H83&gt;0</formula>
    </cfRule>
    <cfRule type="expression" dxfId="1015" priority="38">
      <formula>H83&lt;0</formula>
    </cfRule>
  </conditionalFormatting>
  <conditionalFormatting sqref="K83:K84">
    <cfRule type="expression" dxfId="1014" priority="35">
      <formula>K83&gt;0</formula>
    </cfRule>
    <cfRule type="expression" dxfId="1013" priority="36">
      <formula>K83&lt;0</formula>
    </cfRule>
  </conditionalFormatting>
  <conditionalFormatting sqref="F93:F95 H93:H95 K93:K95">
    <cfRule type="expression" dxfId="1012" priority="31">
      <formula>F93&gt;0</formula>
    </cfRule>
    <cfRule type="expression" dxfId="1011" priority="32">
      <formula>F93&lt;0</formula>
    </cfRule>
  </conditionalFormatting>
  <conditionalFormatting sqref="L85:L91 L112:L114">
    <cfRule type="expression" dxfId="1010" priority="29">
      <formula>L85&gt;0</formula>
    </cfRule>
    <cfRule type="expression" dxfId="1009" priority="30">
      <formula>L85&lt;0</formula>
    </cfRule>
  </conditionalFormatting>
  <conditionalFormatting sqref="L42:L49">
    <cfRule type="expression" dxfId="1008" priority="27">
      <formula>L42&gt;0</formula>
    </cfRule>
    <cfRule type="expression" dxfId="1007" priority="28">
      <formula>L42&lt;0</formula>
    </cfRule>
  </conditionalFormatting>
  <conditionalFormatting sqref="L50:L82">
    <cfRule type="expression" dxfId="1006" priority="25">
      <formula>L50&gt;0</formula>
    </cfRule>
    <cfRule type="expression" dxfId="1005" priority="26">
      <formula>L50&lt;0</formula>
    </cfRule>
  </conditionalFormatting>
  <conditionalFormatting sqref="L83:L84">
    <cfRule type="expression" dxfId="1004" priority="23">
      <formula>L83&gt;0</formula>
    </cfRule>
    <cfRule type="expression" dxfId="1003" priority="24">
      <formula>L83&lt;0</formula>
    </cfRule>
  </conditionalFormatting>
  <conditionalFormatting sqref="L93:L95">
    <cfRule type="expression" dxfId="1002" priority="21">
      <formula>L93&gt;0</formula>
    </cfRule>
    <cfRule type="expression" dxfId="1001" priority="22">
      <formula>L93&lt;0</formula>
    </cfRule>
  </conditionalFormatting>
  <conditionalFormatting sqref="K102:K104 F102:F105 H102:H105">
    <cfRule type="expression" dxfId="1000" priority="19">
      <formula>F102&gt;0</formula>
    </cfRule>
    <cfRule type="expression" dxfId="999" priority="20">
      <formula>F102&lt;0</formula>
    </cfRule>
  </conditionalFormatting>
  <conditionalFormatting sqref="L102:L104">
    <cfRule type="expression" dxfId="998" priority="17">
      <formula>L102&gt;0</formula>
    </cfRule>
    <cfRule type="expression" dxfId="997" priority="18">
      <formula>L102&lt;0</formula>
    </cfRule>
  </conditionalFormatting>
  <conditionalFormatting sqref="K99:K101 F99:F101 H99:H101">
    <cfRule type="expression" dxfId="996" priority="15">
      <formula>F99&gt;0</formula>
    </cfRule>
    <cfRule type="expression" dxfId="995" priority="16">
      <formula>F99&lt;0</formula>
    </cfRule>
  </conditionalFormatting>
  <conditionalFormatting sqref="L99:L101">
    <cfRule type="expression" dxfId="994" priority="13">
      <formula>L99&gt;0</formula>
    </cfRule>
    <cfRule type="expression" dxfId="993" priority="14">
      <formula>L99&lt;0</formula>
    </cfRule>
  </conditionalFormatting>
  <conditionalFormatting sqref="K96:K98 F96:F98 H96:H98">
    <cfRule type="expression" dxfId="992" priority="11">
      <formula>F96&gt;0</formula>
    </cfRule>
    <cfRule type="expression" dxfId="991" priority="12">
      <formula>F96&lt;0</formula>
    </cfRule>
  </conditionalFormatting>
  <conditionalFormatting sqref="L97:L98">
    <cfRule type="expression" dxfId="990" priority="9">
      <formula>L97&gt;0</formula>
    </cfRule>
    <cfRule type="expression" dxfId="989" priority="10">
      <formula>L97&lt;0</formula>
    </cfRule>
  </conditionalFormatting>
  <conditionalFormatting sqref="K108:K110 H107:H110 F107:F110 K107:L107">
    <cfRule type="expression" dxfId="988" priority="3">
      <formula>F107&gt;0</formula>
    </cfRule>
    <cfRule type="expression" dxfId="987" priority="4">
      <formula>F107&lt;0</formula>
    </cfRule>
  </conditionalFormatting>
  <conditionalFormatting sqref="L108:L110">
    <cfRule type="expression" dxfId="986" priority="1">
      <formula>L108&gt;0</formula>
    </cfRule>
    <cfRule type="expression" dxfId="985" priority="2">
      <formula>L108&lt;0</formula>
    </cfRule>
  </conditionalFormatting>
  <hyperlinks>
    <hyperlink ref="A3" location="ACTIVE!A1" display="Back"/>
    <hyperlink ref="A162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57.52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57.52</v>
      </c>
      <c r="R4" s="475">
        <v>2.8E-3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207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206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510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7" t="s">
        <v>78</v>
      </c>
      <c r="P40" s="857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63.272000000000006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62.69680000000001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62.121600000000008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61.546400000000006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60.971200000000003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60.396000000000008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59.820800000000006</v>
      </c>
      <c r="Q47" s="2"/>
      <c r="T47" s="91" t="s">
        <v>313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59.245600000000003</v>
      </c>
      <c r="Q48" s="2"/>
      <c r="T48" s="91" t="s">
        <v>314</v>
      </c>
      <c r="U48" s="86" t="s">
        <v>495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58.670400000000001</v>
      </c>
      <c r="Q49" s="2"/>
      <c r="T49" s="91" t="s">
        <v>315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58.095200000000006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57.52</v>
      </c>
      <c r="Q51" s="2"/>
      <c r="T51" s="91" t="s">
        <v>104</v>
      </c>
      <c r="U51" s="86" t="s">
        <v>596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56.944800000000001</v>
      </c>
      <c r="Q52" s="2"/>
      <c r="T52" s="91" t="s">
        <v>105</v>
      </c>
      <c r="U52" s="86" t="s">
        <v>509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56.369600000000005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55.794400000000003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222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232</v>
      </c>
      <c r="M55" s="250"/>
      <c r="O55" s="81">
        <v>0.96</v>
      </c>
      <c r="P55" s="81">
        <f t="shared" si="5"/>
        <v>55.219200000000001</v>
      </c>
      <c r="T55" s="91" t="s">
        <v>316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54.643999999999998</v>
      </c>
      <c r="T56" s="91" t="s">
        <v>317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54.068800000000003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53.493600000000008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52.918400000000005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52.343200000000003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51.768000000000001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84" priority="9">
      <formula>F39&gt;0</formula>
    </cfRule>
    <cfRule type="expression" dxfId="983" priority="10">
      <formula>F39&lt;0</formula>
    </cfRule>
  </conditionalFormatting>
  <conditionalFormatting sqref="F25:F38">
    <cfRule type="expression" dxfId="982" priority="7">
      <formula>F25&gt;0</formula>
    </cfRule>
    <cfRule type="expression" dxfId="981" priority="8">
      <formula>F25&lt;0</formula>
    </cfRule>
  </conditionalFormatting>
  <conditionalFormatting sqref="H25:H38">
    <cfRule type="expression" dxfId="980" priority="5">
      <formula>H25&gt;0</formula>
    </cfRule>
    <cfRule type="expression" dxfId="979" priority="6">
      <formula>H25&lt;0</formula>
    </cfRule>
  </conditionalFormatting>
  <conditionalFormatting sqref="Q7">
    <cfRule type="expression" dxfId="978" priority="3">
      <formula>Q7&gt;0</formula>
    </cfRule>
    <cfRule type="expression" dxfId="977" priority="4">
      <formula>Q7&lt;0</formula>
    </cfRule>
  </conditionalFormatting>
  <conditionalFormatting sqref="Q8">
    <cfRule type="expression" dxfId="976" priority="1">
      <formula>Q8&gt;0</formula>
    </cfRule>
    <cfRule type="expression" dxfId="975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815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454.21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454.21</v>
      </c>
      <c r="R4" s="495">
        <v>-2.0899999999999998E-2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W9" s="134"/>
    </row>
    <row r="10" spans="1:23" x14ac:dyDescent="0.25">
      <c r="H10" s="70"/>
      <c r="O10" s="11" t="s">
        <v>206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57" t="s">
        <v>78</v>
      </c>
      <c r="P14" s="857"/>
      <c r="W14" s="134"/>
    </row>
    <row r="15" spans="1:23" ht="15.75" thickTop="1" x14ac:dyDescent="0.25">
      <c r="H15" s="70"/>
      <c r="O15" s="81">
        <v>1.1000000000000001</v>
      </c>
      <c r="P15" s="81">
        <f>O15*$Q$4</f>
        <v>499.63100000000003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495.08890000000002</v>
      </c>
      <c r="W16" s="134"/>
    </row>
    <row r="17" spans="1:23" x14ac:dyDescent="0.25">
      <c r="O17" s="81">
        <v>1.08</v>
      </c>
      <c r="P17" s="81">
        <f t="shared" si="0"/>
        <v>490.54680000000002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486.00470000000001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481.46260000000001</v>
      </c>
      <c r="W19" s="134"/>
    </row>
    <row r="20" spans="1:23" x14ac:dyDescent="0.25">
      <c r="O20" s="81">
        <v>1.05</v>
      </c>
      <c r="P20" s="81">
        <f t="shared" si="0"/>
        <v>476.9205</v>
      </c>
      <c r="W20" s="134"/>
    </row>
    <row r="21" spans="1:23" x14ac:dyDescent="0.25">
      <c r="O21" s="81">
        <v>1.04</v>
      </c>
      <c r="P21" s="81">
        <f t="shared" si="0"/>
        <v>472.3784</v>
      </c>
      <c r="W21" s="134"/>
    </row>
    <row r="22" spans="1:23" x14ac:dyDescent="0.25">
      <c r="O22" s="81">
        <v>1.03</v>
      </c>
      <c r="P22" s="81">
        <f t="shared" si="0"/>
        <v>467.83629999999999</v>
      </c>
      <c r="W22" s="134"/>
    </row>
    <row r="23" spans="1:23" x14ac:dyDescent="0.25">
      <c r="O23" s="81">
        <v>1.02</v>
      </c>
      <c r="P23" s="81">
        <f t="shared" si="0"/>
        <v>463.29419999999999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494</v>
      </c>
      <c r="K24" s="220" t="s">
        <v>178</v>
      </c>
      <c r="L24" s="220"/>
      <c r="O24" s="81">
        <v>1.01</v>
      </c>
      <c r="P24" s="81">
        <f t="shared" si="0"/>
        <v>458.75209999999998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222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454.21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222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449.66789999999997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445.12579999999997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440.58369999999996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436.04159999999996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431.49949999999995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426.95739999999995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422.4153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417.8732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413.33109999999999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408.78899999999999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815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74" priority="29">
      <formula>F29&gt;0</formula>
    </cfRule>
    <cfRule type="expression" dxfId="973" priority="30">
      <formula>F29&lt;0</formula>
    </cfRule>
  </conditionalFormatting>
  <conditionalFormatting sqref="Q7">
    <cfRule type="expression" dxfId="972" priority="27">
      <formula>Q7&gt;0</formula>
    </cfRule>
    <cfRule type="expression" dxfId="971" priority="28">
      <formula>Q7&lt;0</formula>
    </cfRule>
  </conditionalFormatting>
  <conditionalFormatting sqref="Q8">
    <cfRule type="expression" dxfId="970" priority="25">
      <formula>Q8&gt;0</formula>
    </cfRule>
    <cfRule type="expression" dxfId="969" priority="26">
      <formula>Q8&lt;0</formula>
    </cfRule>
  </conditionalFormatting>
  <conditionalFormatting sqref="F96:F110">
    <cfRule type="expression" dxfId="968" priority="19">
      <formula>F96&gt;0</formula>
    </cfRule>
    <cfRule type="expression" dxfId="967" priority="20">
      <formula>F96&lt;0</formula>
    </cfRule>
  </conditionalFormatting>
  <conditionalFormatting sqref="H96:H110">
    <cfRule type="expression" dxfId="966" priority="17">
      <formula>H96&gt;0</formula>
    </cfRule>
    <cfRule type="expression" dxfId="965" priority="18">
      <formula>H96&lt;0</formula>
    </cfRule>
  </conditionalFormatting>
  <conditionalFormatting sqref="Q10">
    <cfRule type="expression" dxfId="964" priority="15">
      <formula>Q10&gt;0</formula>
    </cfRule>
    <cfRule type="expression" dxfId="963" priority="16">
      <formula>Q10&lt;0</formula>
    </cfRule>
  </conditionalFormatting>
  <conditionalFormatting sqref="L29:L38">
    <cfRule type="expression" dxfId="962" priority="9">
      <formula>L29&gt;0</formula>
    </cfRule>
    <cfRule type="expression" dxfId="961" priority="10">
      <formula>L29&lt;0</formula>
    </cfRule>
  </conditionalFormatting>
  <conditionalFormatting sqref="F27:F29 H27:H29 J25:K29">
    <cfRule type="expression" dxfId="960" priority="7">
      <formula>F25&gt;0</formula>
    </cfRule>
    <cfRule type="expression" dxfId="959" priority="8">
      <formula>F25&lt;0</formula>
    </cfRule>
  </conditionalFormatting>
  <conditionalFormatting sqref="L25:L29">
    <cfRule type="expression" dxfId="958" priority="5">
      <formula>L25&gt;0</formula>
    </cfRule>
    <cfRule type="expression" dxfId="957" priority="6">
      <formula>L25&lt;0</formula>
    </cfRule>
  </conditionalFormatting>
  <conditionalFormatting sqref="F25:F26">
    <cfRule type="expression" dxfId="956" priority="3">
      <formula>F25&gt;0</formula>
    </cfRule>
    <cfRule type="expression" dxfId="955" priority="4">
      <formula>F25&lt;0</formula>
    </cfRule>
  </conditionalFormatting>
  <conditionalFormatting sqref="H25:H26">
    <cfRule type="expression" dxfId="954" priority="1">
      <formula>H25&gt;0</formula>
    </cfRule>
    <cfRule type="expression" dxfId="953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841</v>
      </c>
      <c r="B2" s="434">
        <v>43105</v>
      </c>
      <c r="C2" s="7">
        <v>40</v>
      </c>
      <c r="D2" s="43">
        <v>90.08</v>
      </c>
      <c r="E2" s="43">
        <v>0</v>
      </c>
      <c r="F2" s="43">
        <f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0</v>
      </c>
      <c r="T2" s="1"/>
      <c r="U2" t="s">
        <v>876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>C3*D3+E3</f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105.35</v>
      </c>
      <c r="T3" s="1">
        <v>43114</v>
      </c>
      <c r="U3" t="s">
        <v>877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>C4*D4+E4</f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105.35</v>
      </c>
      <c r="R4" s="495">
        <v>2.5999999999999999E-3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>C5*D5+E5</f>
        <v>3312.7999999999997</v>
      </c>
      <c r="G5" s="434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0</v>
      </c>
      <c r="T5" s="1">
        <v>43121</v>
      </c>
      <c r="U5" t="s">
        <v>894</v>
      </c>
      <c r="W5" s="134"/>
    </row>
    <row r="6" spans="1:23" x14ac:dyDescent="0.25">
      <c r="B6" s="434">
        <v>43216</v>
      </c>
      <c r="C6" s="7">
        <v>40</v>
      </c>
      <c r="D6" s="43">
        <v>84.8</v>
      </c>
      <c r="E6" s="43">
        <v>0</v>
      </c>
      <c r="F6" s="43">
        <f>C6*D6+E6</f>
        <v>3392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910.92000000000189</v>
      </c>
      <c r="R7">
        <v>0</v>
      </c>
      <c r="T7" s="1">
        <v>43138</v>
      </c>
      <c r="U7" t="s">
        <v>975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910.92000000000189</v>
      </c>
      <c r="T8" s="1"/>
      <c r="U8" t="s">
        <v>976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U9" t="s">
        <v>977</v>
      </c>
      <c r="W9" s="134"/>
    </row>
    <row r="10" spans="1:23" x14ac:dyDescent="0.25">
      <c r="H10" s="70"/>
      <c r="O10" s="11" t="s">
        <v>206</v>
      </c>
      <c r="P10" s="33"/>
      <c r="Q10" s="2">
        <f>M66</f>
        <v>0</v>
      </c>
      <c r="U10" t="s">
        <v>979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2.1642145230185098E-2</v>
      </c>
      <c r="R11">
        <f>0.57</f>
        <v>0.56999999999999995</v>
      </c>
      <c r="W11" s="134"/>
    </row>
    <row r="12" spans="1:23" x14ac:dyDescent="0.25">
      <c r="H12" s="70"/>
      <c r="O12" s="11" t="s">
        <v>938</v>
      </c>
      <c r="Q12" s="1" t="s">
        <v>1204</v>
      </c>
      <c r="W12" s="134"/>
    </row>
    <row r="13" spans="1:23" x14ac:dyDescent="0.25">
      <c r="H13" s="70"/>
      <c r="O13" s="11" t="s">
        <v>965</v>
      </c>
      <c r="Q13" s="2">
        <f>Q4/4.76</f>
        <v>22.132352941176471</v>
      </c>
      <c r="T13" s="1">
        <v>43213</v>
      </c>
      <c r="U13" t="s">
        <v>978</v>
      </c>
      <c r="W13" s="134"/>
    </row>
    <row r="14" spans="1:23" x14ac:dyDescent="0.25">
      <c r="H14" s="70"/>
      <c r="U14" t="s">
        <v>1017</v>
      </c>
      <c r="W14" s="134"/>
    </row>
    <row r="15" spans="1:23" x14ac:dyDescent="0.25">
      <c r="H15" s="70"/>
      <c r="U15" t="s">
        <v>1018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1086</v>
      </c>
      <c r="W17" s="134"/>
    </row>
    <row r="18" spans="1:23" ht="20.25" thickBot="1" x14ac:dyDescent="0.35">
      <c r="A18" s="31" t="s">
        <v>81</v>
      </c>
      <c r="B18" s="14"/>
      <c r="C18" s="14">
        <f>SUM(C2:C7)</f>
        <v>180</v>
      </c>
      <c r="D18" s="18"/>
      <c r="E18" s="18"/>
      <c r="F18" s="18">
        <f>SUM(F2:F7)</f>
        <v>15700.8</v>
      </c>
      <c r="G18" s="14"/>
      <c r="H18" s="71">
        <f>SUM(H2:H5)</f>
        <v>180</v>
      </c>
      <c r="I18" s="18"/>
      <c r="J18" s="18"/>
      <c r="K18" s="18">
        <f>SUM(K2:K5)</f>
        <v>16525.920000000002</v>
      </c>
      <c r="L18" s="14"/>
      <c r="M18" s="18">
        <f>SUM(M2:M10)</f>
        <v>85.8</v>
      </c>
      <c r="O18" s="857" t="s">
        <v>78</v>
      </c>
      <c r="P18" s="857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180</v>
      </c>
      <c r="D19" s="343"/>
      <c r="E19" s="343"/>
      <c r="F19" s="344">
        <f>SumByColor($A$19,F2:F17)</f>
        <v>15701</v>
      </c>
      <c r="G19" s="343"/>
      <c r="H19" s="343">
        <f>SumByColor($A$19,H2:H17)</f>
        <v>180</v>
      </c>
      <c r="I19" s="343"/>
      <c r="J19" s="343"/>
      <c r="K19" s="344">
        <f>SumByColor($A$19,K2:K17)</f>
        <v>16526</v>
      </c>
      <c r="L19" s="343"/>
      <c r="M19" s="344">
        <f>SumByColor($A$19,M2:M17)</f>
        <v>86</v>
      </c>
      <c r="O19" s="81">
        <v>1.1000000000000001</v>
      </c>
      <c r="P19" s="81">
        <f>O19*$Q$4</f>
        <v>115.88500000000001</v>
      </c>
      <c r="W19" s="134"/>
    </row>
    <row r="20" spans="1:23" x14ac:dyDescent="0.25">
      <c r="O20" s="81">
        <v>1.0900000000000001</v>
      </c>
      <c r="P20" s="81">
        <f t="shared" ref="P20:P39" si="0">O20*$Q$4</f>
        <v>114.83150000000001</v>
      </c>
      <c r="T20" s="1">
        <v>43304</v>
      </c>
      <c r="U20" s="475" t="s">
        <v>1225</v>
      </c>
      <c r="W20" s="134"/>
    </row>
    <row r="21" spans="1:23" x14ac:dyDescent="0.25">
      <c r="O21" s="81">
        <v>1.08</v>
      </c>
      <c r="P21" s="81">
        <f t="shared" si="0"/>
        <v>113.77800000000001</v>
      </c>
      <c r="W21" s="134"/>
    </row>
    <row r="22" spans="1:23" x14ac:dyDescent="0.25">
      <c r="O22" s="81">
        <v>1.07</v>
      </c>
      <c r="P22" s="81">
        <f t="shared" si="0"/>
        <v>112.72450000000001</v>
      </c>
      <c r="T22" s="156">
        <v>43306</v>
      </c>
      <c r="U22" t="s">
        <v>1226</v>
      </c>
      <c r="W22" s="134"/>
    </row>
    <row r="23" spans="1:23" x14ac:dyDescent="0.25">
      <c r="O23" s="81">
        <v>1.06</v>
      </c>
      <c r="P23" s="81">
        <f t="shared" si="0"/>
        <v>111.67100000000001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494</v>
      </c>
      <c r="K24" s="220" t="s">
        <v>965</v>
      </c>
      <c r="L24" s="220"/>
      <c r="O24" s="81">
        <v>1.05</v>
      </c>
      <c r="P24" s="81">
        <f t="shared" si="0"/>
        <v>110.61749999999999</v>
      </c>
      <c r="W24" s="134"/>
    </row>
    <row r="25" spans="1:23" x14ac:dyDescent="0.25">
      <c r="B25" s="184">
        <v>43105</v>
      </c>
      <c r="C25" s="10">
        <v>40</v>
      </c>
      <c r="D25" s="39">
        <v>90.08</v>
      </c>
      <c r="E25" s="39">
        <v>92.41</v>
      </c>
      <c r="F25" s="39">
        <f t="shared" ref="F25:F40" si="1">C25*(E25-D25)</f>
        <v>93.199999999999932</v>
      </c>
      <c r="G25" s="39">
        <f t="shared" ref="G25:G41" si="2">D25*C25</f>
        <v>3603.2</v>
      </c>
      <c r="H25" s="222">
        <f t="shared" ref="H25:H41" si="3">(E25-D25)/D25</f>
        <v>2.5865896980461794E-2</v>
      </c>
      <c r="I25" s="39"/>
      <c r="J25" s="39"/>
      <c r="K25" s="39"/>
      <c r="L25" s="39"/>
      <c r="O25" s="81">
        <v>1.04</v>
      </c>
      <c r="P25" s="81">
        <f t="shared" si="0"/>
        <v>109.56399999999999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si="1"/>
        <v>373.59999999999957</v>
      </c>
      <c r="G26" s="39">
        <f t="shared" si="2"/>
        <v>3580.4</v>
      </c>
      <c r="H26" s="222">
        <f t="shared" si="3"/>
        <v>0.1043458831415483</v>
      </c>
      <c r="I26" s="39"/>
      <c r="J26" s="39"/>
      <c r="K26" s="39"/>
      <c r="L26" s="39"/>
      <c r="O26" s="81">
        <v>1.03</v>
      </c>
      <c r="P26" s="81">
        <f t="shared" si="0"/>
        <v>108.51049999999999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si="1"/>
        <v>-38.2000000000005</v>
      </c>
      <c r="G27" s="39">
        <f t="shared" si="2"/>
        <v>8973.2000000000007</v>
      </c>
      <c r="H27" s="222">
        <f t="shared" si="3"/>
        <v>-4.2571212053671486E-3</v>
      </c>
      <c r="I27" s="39"/>
      <c r="J27" s="39"/>
      <c r="K27" s="39"/>
      <c r="L27" s="155"/>
      <c r="O27" s="81">
        <v>1.02</v>
      </c>
      <c r="P27" s="81">
        <f t="shared" si="0"/>
        <v>107.45699999999999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si="1"/>
        <v>-199.20000000000044</v>
      </c>
      <c r="G28" s="39">
        <f t="shared" si="2"/>
        <v>8973.2000000000007</v>
      </c>
      <c r="H28" s="222">
        <f t="shared" si="3"/>
        <v>-2.2199438327464054E-2</v>
      </c>
      <c r="I28" s="39"/>
      <c r="J28" s="39"/>
      <c r="K28" s="39"/>
      <c r="L28" s="155"/>
      <c r="O28" s="81">
        <v>1.01</v>
      </c>
      <c r="P28" s="81">
        <f t="shared" si="0"/>
        <v>106.40349999999999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si="1"/>
        <v>-328.19999999999965</v>
      </c>
      <c r="G29" s="39">
        <f t="shared" si="2"/>
        <v>8973.2000000000007</v>
      </c>
      <c r="H29" s="222">
        <f t="shared" si="3"/>
        <v>-3.6575580617839748E-2</v>
      </c>
      <c r="I29" s="39"/>
      <c r="J29" s="39"/>
      <c r="K29" s="39"/>
      <c r="L29" s="155"/>
      <c r="O29" s="81">
        <v>1</v>
      </c>
      <c r="P29" s="81">
        <f t="shared" si="0"/>
        <v>105.35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si="1"/>
        <v>-551.20000000000005</v>
      </c>
      <c r="G30" s="39">
        <f t="shared" si="2"/>
        <v>8973.2000000000007</v>
      </c>
      <c r="H30" s="222">
        <f t="shared" si="3"/>
        <v>-6.1427361476396387E-2</v>
      </c>
      <c r="I30" s="39"/>
      <c r="J30" s="39"/>
      <c r="K30" s="39"/>
      <c r="L30" s="155"/>
      <c r="O30" s="81">
        <v>0.99</v>
      </c>
      <c r="P30" s="81">
        <f t="shared" si="0"/>
        <v>104.29649999999999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si="1"/>
        <v>-465.2000000000001</v>
      </c>
      <c r="G31" s="39">
        <f t="shared" si="2"/>
        <v>8973.2000000000007</v>
      </c>
      <c r="H31" s="222">
        <f t="shared" si="3"/>
        <v>-5.1843266616145869E-2</v>
      </c>
      <c r="I31" s="39"/>
      <c r="J31" s="39"/>
      <c r="K31" s="39"/>
      <c r="L31" s="155"/>
      <c r="O31" s="81">
        <v>0.98</v>
      </c>
      <c r="P31" s="81">
        <f t="shared" si="0"/>
        <v>103.24299999999999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si="1"/>
        <v>-566.20000000000061</v>
      </c>
      <c r="G32" s="39">
        <f t="shared" si="2"/>
        <v>8973.2000000000007</v>
      </c>
      <c r="H32" s="222">
        <f t="shared" si="3"/>
        <v>-6.3099005928765731E-2</v>
      </c>
      <c r="I32" s="39"/>
      <c r="J32" s="39"/>
      <c r="K32" s="39"/>
      <c r="L32" s="155"/>
      <c r="O32" s="81">
        <v>0.97</v>
      </c>
      <c r="P32" s="81">
        <f t="shared" si="0"/>
        <v>102.1895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si="1"/>
        <v>-530.19999999999925</v>
      </c>
      <c r="G33" s="39">
        <f t="shared" si="2"/>
        <v>8973.2000000000007</v>
      </c>
      <c r="H33" s="222">
        <f t="shared" si="3"/>
        <v>-5.9087059243079311E-2</v>
      </c>
      <c r="I33" s="39"/>
      <c r="J33" s="39">
        <v>36</v>
      </c>
      <c r="K33" s="39">
        <v>12.79</v>
      </c>
      <c r="L33" s="155"/>
      <c r="O33" s="81">
        <v>0.96</v>
      </c>
      <c r="P33" s="81">
        <f t="shared" si="0"/>
        <v>101.136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1"/>
        <v>-691.19400000000019</v>
      </c>
      <c r="G34" s="39">
        <f t="shared" si="2"/>
        <v>12285.993999999999</v>
      </c>
      <c r="H34" s="222">
        <f t="shared" si="3"/>
        <v>-5.6258695877598519E-2</v>
      </c>
      <c r="I34" s="39"/>
      <c r="J34" s="39"/>
      <c r="K34" s="39">
        <v>12.55</v>
      </c>
      <c r="L34" s="155"/>
      <c r="O34" s="81">
        <v>0.95</v>
      </c>
      <c r="P34" s="81">
        <f t="shared" si="0"/>
        <v>100.0825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1"/>
        <v>-212.07999999999885</v>
      </c>
      <c r="G35" s="39">
        <f t="shared" si="2"/>
        <v>8824.08</v>
      </c>
      <c r="H35" s="222">
        <f t="shared" si="3"/>
        <v>-2.4034233597156743E-2</v>
      </c>
      <c r="I35" s="39"/>
      <c r="J35" s="39"/>
      <c r="K35" s="39"/>
      <c r="L35" s="155"/>
      <c r="O35" s="81">
        <v>0.94</v>
      </c>
      <c r="P35" s="81">
        <f t="shared" si="0"/>
        <v>99.028999999999982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1"/>
        <v>-202.67799999999966</v>
      </c>
      <c r="G36" s="39">
        <f t="shared" si="2"/>
        <v>12216.078</v>
      </c>
      <c r="H36" s="222">
        <f t="shared" si="3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0"/>
        <v>97.975499999999997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si="1"/>
        <v>17.000000000000171</v>
      </c>
      <c r="G37" s="39">
        <f t="shared" si="2"/>
        <v>8721</v>
      </c>
      <c r="H37" s="222">
        <f t="shared" si="3"/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0"/>
        <v>96.921999999999997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1"/>
        <v>170.00000000000028</v>
      </c>
      <c r="G38" s="39">
        <f t="shared" si="2"/>
        <v>8658</v>
      </c>
      <c r="H38" s="222">
        <f t="shared" si="3"/>
        <v>1.9635019635019669E-2</v>
      </c>
      <c r="I38" s="39">
        <v>86</v>
      </c>
      <c r="J38" s="39"/>
      <c r="K38" s="39">
        <v>13.38</v>
      </c>
      <c r="L38" s="39" t="s">
        <v>185</v>
      </c>
      <c r="O38" s="81">
        <v>0.91</v>
      </c>
      <c r="P38" s="81">
        <f t="shared" si="0"/>
        <v>95.868499999999997</v>
      </c>
      <c r="W38" s="134"/>
    </row>
    <row r="39" spans="1:23" x14ac:dyDescent="0.25">
      <c r="B39" s="184">
        <v>43258</v>
      </c>
      <c r="C39" s="10">
        <v>40</v>
      </c>
      <c r="D39" s="39">
        <v>82.575699999999998</v>
      </c>
      <c r="E39" s="39">
        <v>88.81</v>
      </c>
      <c r="F39" s="39">
        <f t="shared" si="1"/>
        <v>249.37200000000018</v>
      </c>
      <c r="G39" s="39">
        <f t="shared" si="2"/>
        <v>3303.0279999999998</v>
      </c>
      <c r="H39" s="222">
        <f t="shared" si="3"/>
        <v>7.5497997594934155E-2</v>
      </c>
      <c r="I39" s="39"/>
      <c r="J39" s="39"/>
      <c r="K39" s="39">
        <v>18.66</v>
      </c>
      <c r="L39" s="39"/>
      <c r="O39" s="81">
        <v>0.9</v>
      </c>
      <c r="P39" s="81">
        <f t="shared" si="0"/>
        <v>94.814999999999998</v>
      </c>
      <c r="T39" s="134"/>
    </row>
    <row r="40" spans="1:23" x14ac:dyDescent="0.25">
      <c r="A40">
        <v>40</v>
      </c>
      <c r="B40" s="184">
        <v>43303</v>
      </c>
      <c r="C40" s="10">
        <v>40</v>
      </c>
      <c r="D40" s="39">
        <v>82.58</v>
      </c>
      <c r="E40" s="39">
        <v>93.93</v>
      </c>
      <c r="F40" s="39">
        <f t="shared" si="1"/>
        <v>454.00000000000034</v>
      </c>
      <c r="G40" s="39">
        <f t="shared" si="2"/>
        <v>3303.2</v>
      </c>
      <c r="H40" s="222">
        <f t="shared" si="3"/>
        <v>0.13744248001937526</v>
      </c>
      <c r="I40" s="39"/>
      <c r="J40" s="39"/>
      <c r="K40" s="39">
        <v>19.73</v>
      </c>
      <c r="L40" s="39"/>
      <c r="T40" s="134"/>
    </row>
    <row r="41" spans="1:23" x14ac:dyDescent="0.25">
      <c r="A41">
        <v>0</v>
      </c>
      <c r="B41" s="184">
        <v>43304</v>
      </c>
      <c r="C41" s="10">
        <v>0</v>
      </c>
      <c r="D41" s="39">
        <v>105.35</v>
      </c>
      <c r="E41" s="39">
        <v>105.35</v>
      </c>
      <c r="F41" s="39">
        <v>910.92</v>
      </c>
      <c r="G41" s="39">
        <f t="shared" si="2"/>
        <v>0</v>
      </c>
      <c r="H41" s="222">
        <f t="shared" si="3"/>
        <v>0</v>
      </c>
      <c r="I41" s="39"/>
      <c r="J41" s="39"/>
      <c r="K41" s="39">
        <v>22.13</v>
      </c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841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52" priority="25">
      <formula>F47&gt;0</formula>
    </cfRule>
    <cfRule type="expression" dxfId="951" priority="26">
      <formula>F47&lt;0</formula>
    </cfRule>
  </conditionalFormatting>
  <conditionalFormatting sqref="Q7">
    <cfRule type="expression" dxfId="950" priority="23">
      <formula>Q7&gt;0</formula>
    </cfRule>
    <cfRule type="expression" dxfId="949" priority="24">
      <formula>Q7&lt;0</formula>
    </cfRule>
  </conditionalFormatting>
  <conditionalFormatting sqref="Q8">
    <cfRule type="expression" dxfId="948" priority="21">
      <formula>Q8&gt;0</formula>
    </cfRule>
    <cfRule type="expression" dxfId="947" priority="22">
      <formula>Q8&lt;0</formula>
    </cfRule>
  </conditionalFormatting>
  <conditionalFormatting sqref="F25:F29 F34:F46">
    <cfRule type="expression" dxfId="946" priority="19">
      <formula>F25&gt;0</formula>
    </cfRule>
    <cfRule type="expression" dxfId="945" priority="20">
      <formula>F25&lt;0</formula>
    </cfRule>
  </conditionalFormatting>
  <conditionalFormatting sqref="H25:H29 H34:H46">
    <cfRule type="expression" dxfId="944" priority="17">
      <formula>H25&gt;0</formula>
    </cfRule>
    <cfRule type="expression" dxfId="943" priority="18">
      <formula>H25&lt;0</formula>
    </cfRule>
  </conditionalFormatting>
  <conditionalFormatting sqref="F89:F110">
    <cfRule type="expression" dxfId="942" priority="15">
      <formula>F89&gt;0</formula>
    </cfRule>
    <cfRule type="expression" dxfId="941" priority="16">
      <formula>F89&lt;0</formula>
    </cfRule>
  </conditionalFormatting>
  <conditionalFormatting sqref="H89:H110">
    <cfRule type="expression" dxfId="940" priority="13">
      <formula>H89&gt;0</formula>
    </cfRule>
    <cfRule type="expression" dxfId="939" priority="14">
      <formula>H89&lt;0</formula>
    </cfRule>
  </conditionalFormatting>
  <conditionalFormatting sqref="Q10">
    <cfRule type="expression" dxfId="938" priority="11">
      <formula>Q10&gt;0</formula>
    </cfRule>
    <cfRule type="expression" dxfId="937" priority="12">
      <formula>Q10&lt;0</formula>
    </cfRule>
  </conditionalFormatting>
  <conditionalFormatting sqref="J25:J32 J34:J38">
    <cfRule type="expression" dxfId="936" priority="9">
      <formula>J25&gt;0</formula>
    </cfRule>
    <cfRule type="expression" dxfId="935" priority="10">
      <formula>J25&lt;0</formula>
    </cfRule>
  </conditionalFormatting>
  <conditionalFormatting sqref="K25:K30">
    <cfRule type="expression" dxfId="934" priority="7">
      <formula>K25&gt;0</formula>
    </cfRule>
    <cfRule type="expression" dxfId="933" priority="8">
      <formula>K25&lt;0</formula>
    </cfRule>
  </conditionalFormatting>
  <conditionalFormatting sqref="L25:L38">
    <cfRule type="expression" dxfId="932" priority="5">
      <formula>L25&gt;0</formula>
    </cfRule>
    <cfRule type="expression" dxfId="931" priority="6">
      <formula>L25&lt;0</formula>
    </cfRule>
  </conditionalFormatting>
  <conditionalFormatting sqref="F30:F33">
    <cfRule type="expression" dxfId="930" priority="3">
      <formula>F30&gt;0</formula>
    </cfRule>
    <cfRule type="expression" dxfId="929" priority="4">
      <formula>F30&lt;0</formula>
    </cfRule>
  </conditionalFormatting>
  <conditionalFormatting sqref="H30:H33">
    <cfRule type="expression" dxfId="928" priority="1">
      <formula>H30&gt;0</formula>
    </cfRule>
    <cfRule type="expression" dxfId="927" priority="2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725</v>
      </c>
      <c r="B2" s="434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434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1012</v>
      </c>
      <c r="W2" s="134"/>
    </row>
    <row r="3" spans="1:23" x14ac:dyDescent="0.25">
      <c r="A3" s="22" t="s">
        <v>71</v>
      </c>
      <c r="B3" s="434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434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221">
        <f>IF(Q2=0, Q4, (F18-K18-M18)/Q2)</f>
        <v>75.86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75.86</v>
      </c>
      <c r="R4" s="495">
        <v>-5.8999999999999999E-3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805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1040.7199999999993</v>
      </c>
      <c r="R7">
        <v>0</v>
      </c>
      <c r="T7" s="1">
        <v>43096</v>
      </c>
      <c r="U7" t="s">
        <v>804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581.39999999999964</v>
      </c>
      <c r="T8" s="1"/>
      <c r="U8" t="s">
        <v>808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U9" t="s">
        <v>806</v>
      </c>
      <c r="W9" s="134"/>
    </row>
    <row r="10" spans="1:23" x14ac:dyDescent="0.25">
      <c r="H10" s="70"/>
      <c r="O10" s="11" t="s">
        <v>206</v>
      </c>
      <c r="P10" s="33"/>
      <c r="Q10" s="2">
        <f>M41</f>
        <v>459.31999999999971</v>
      </c>
      <c r="U10" t="s">
        <v>807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938</v>
      </c>
      <c r="Q12" s="1"/>
      <c r="T12" s="1">
        <v>43114</v>
      </c>
      <c r="U12" t="s">
        <v>858</v>
      </c>
      <c r="W12" s="134"/>
    </row>
    <row r="13" spans="1:23" x14ac:dyDescent="0.25">
      <c r="H13" s="70"/>
      <c r="O13" s="11" t="s">
        <v>965</v>
      </c>
      <c r="Q13" s="2">
        <f>Q4/(4.03+4.14)*2</f>
        <v>18.570379436964505</v>
      </c>
      <c r="U13" t="s">
        <v>859</v>
      </c>
      <c r="W13" s="134"/>
    </row>
    <row r="14" spans="1:23" x14ac:dyDescent="0.25">
      <c r="H14" s="70"/>
      <c r="U14" t="s">
        <v>861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57" t="s">
        <v>78</v>
      </c>
      <c r="P16" s="857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83.446000000000012</v>
      </c>
      <c r="Q17" s="2"/>
      <c r="U17" t="s">
        <v>964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82.687400000000011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6936</v>
      </c>
      <c r="G19" s="343"/>
      <c r="H19" s="343">
        <f>SumByColor($A$19,H2:H17)</f>
        <v>100</v>
      </c>
      <c r="I19" s="343"/>
      <c r="J19" s="343"/>
      <c r="K19" s="344">
        <f>SumByColor($A$19,K2:K17)</f>
        <v>7517</v>
      </c>
      <c r="L19" s="343"/>
      <c r="M19" s="344">
        <f>SumByColor($A$19,M2:M17)</f>
        <v>0</v>
      </c>
      <c r="O19" s="81">
        <v>1.08</v>
      </c>
      <c r="P19" s="81">
        <f t="shared" si="0"/>
        <v>81.92880000000001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81.170200000000008</v>
      </c>
      <c r="Q20" s="2"/>
      <c r="W20" s="134"/>
    </row>
    <row r="21" spans="1:23" x14ac:dyDescent="0.25">
      <c r="O21" s="81">
        <v>1.06</v>
      </c>
      <c r="P21" s="81">
        <f t="shared" si="0"/>
        <v>80.411600000000007</v>
      </c>
      <c r="Q21" s="2"/>
      <c r="T21" s="1">
        <v>43283</v>
      </c>
      <c r="U21" t="s">
        <v>1142</v>
      </c>
      <c r="W21" s="134"/>
    </row>
    <row r="22" spans="1:23" x14ac:dyDescent="0.25">
      <c r="O22" s="81">
        <v>1.05</v>
      </c>
      <c r="P22" s="81">
        <f t="shared" si="0"/>
        <v>79.653000000000006</v>
      </c>
      <c r="Q22" s="2"/>
      <c r="W22" s="134"/>
    </row>
    <row r="23" spans="1:23" x14ac:dyDescent="0.25">
      <c r="O23" s="81">
        <v>1.04</v>
      </c>
      <c r="P23" s="81">
        <f t="shared" si="0"/>
        <v>78.894400000000005</v>
      </c>
      <c r="Q23" s="2"/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494</v>
      </c>
      <c r="K24" s="220"/>
      <c r="L24" s="220" t="s">
        <v>965</v>
      </c>
      <c r="M24" s="220" t="s">
        <v>150</v>
      </c>
      <c r="O24" s="81">
        <v>1.03</v>
      </c>
      <c r="P24" s="81">
        <f t="shared" si="0"/>
        <v>78.135800000000003</v>
      </c>
      <c r="Q24" s="2"/>
      <c r="W24" s="134"/>
    </row>
    <row r="25" spans="1:23" x14ac:dyDescent="0.25">
      <c r="B25" s="18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222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77.377200000000002</v>
      </c>
      <c r="Q25" s="2"/>
      <c r="W25" s="134"/>
    </row>
    <row r="26" spans="1:23" x14ac:dyDescent="0.25">
      <c r="B26" s="18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222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76.618600000000001</v>
      </c>
      <c r="Q26" s="2"/>
      <c r="W26" s="134"/>
    </row>
    <row r="27" spans="1:23" x14ac:dyDescent="0.25">
      <c r="A27">
        <v>50</v>
      </c>
      <c r="B27" s="18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222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75.86</v>
      </c>
      <c r="Q27" s="2"/>
      <c r="W27" s="134"/>
    </row>
    <row r="28" spans="1:23" x14ac:dyDescent="0.25">
      <c r="B28" s="184">
        <v>43287</v>
      </c>
      <c r="C28" s="10">
        <v>0</v>
      </c>
      <c r="D28" s="39"/>
      <c r="E28" s="39"/>
      <c r="F28" s="39">
        <v>581.4</v>
      </c>
      <c r="G28" s="39"/>
      <c r="H28" s="222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75.101399999999998</v>
      </c>
      <c r="Q28" s="2"/>
      <c r="W28" s="134"/>
    </row>
    <row r="29" spans="1:2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M29" s="39"/>
      <c r="O29" s="81">
        <v>0.98</v>
      </c>
      <c r="P29" s="81">
        <f t="shared" si="0"/>
        <v>74.342799999999997</v>
      </c>
      <c r="Q29" s="2"/>
      <c r="W29" s="134"/>
    </row>
    <row r="30" spans="1:2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M30" s="39"/>
      <c r="O30" s="81">
        <v>0.97</v>
      </c>
      <c r="P30" s="81">
        <f t="shared" si="0"/>
        <v>73.584199999999996</v>
      </c>
      <c r="W30" s="134"/>
    </row>
    <row r="31" spans="1:2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M31" s="39"/>
      <c r="O31" s="81">
        <v>0.96</v>
      </c>
      <c r="P31" s="81">
        <f t="shared" si="0"/>
        <v>72.825599999999994</v>
      </c>
      <c r="W31" s="134"/>
    </row>
    <row r="32" spans="1:23" x14ac:dyDescent="0.25">
      <c r="A32" s="4"/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M32" s="39"/>
      <c r="O32" s="81">
        <v>0.95</v>
      </c>
      <c r="P32" s="81">
        <f t="shared" si="0"/>
        <v>72.066999999999993</v>
      </c>
      <c r="W32" s="134"/>
    </row>
    <row r="33" spans="1:23" x14ac:dyDescent="0.25">
      <c r="A33" s="4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M33" s="39"/>
      <c r="O33" s="81">
        <v>0.94</v>
      </c>
      <c r="P33" s="81">
        <f t="shared" si="0"/>
        <v>71.308399999999992</v>
      </c>
      <c r="W33" s="134"/>
    </row>
    <row r="34" spans="1:23" x14ac:dyDescent="0.25">
      <c r="A34" s="4"/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M34" s="39"/>
      <c r="O34" s="81">
        <v>0.93</v>
      </c>
      <c r="P34" s="81">
        <f t="shared" si="0"/>
        <v>70.549800000000005</v>
      </c>
      <c r="W34" s="134"/>
    </row>
    <row r="35" spans="1:23" x14ac:dyDescent="0.25">
      <c r="A35" s="4"/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M35" s="39"/>
      <c r="O35" s="81">
        <v>0.92</v>
      </c>
      <c r="P35" s="81">
        <f t="shared" si="0"/>
        <v>69.791200000000003</v>
      </c>
      <c r="W35" s="134"/>
    </row>
    <row r="36" spans="1:23" x14ac:dyDescent="0.25">
      <c r="A36" s="4"/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M36" s="39"/>
      <c r="O36" s="81">
        <v>0.91</v>
      </c>
      <c r="P36" s="81">
        <f t="shared" si="0"/>
        <v>69.032600000000002</v>
      </c>
      <c r="W36" s="134"/>
    </row>
    <row r="37" spans="1:23" x14ac:dyDescent="0.25">
      <c r="A37" s="4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M37" s="39"/>
      <c r="O37" s="81">
        <v>0.9</v>
      </c>
      <c r="P37" s="81">
        <f t="shared" si="0"/>
        <v>68.274000000000001</v>
      </c>
      <c r="W37" s="134"/>
    </row>
    <row r="38" spans="1:23" x14ac:dyDescent="0.25">
      <c r="A38" s="4"/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510" t="s">
        <v>1</v>
      </c>
      <c r="B42" s="510" t="s">
        <v>2</v>
      </c>
      <c r="C42" s="510" t="s">
        <v>4</v>
      </c>
      <c r="D42" s="511" t="s">
        <v>5</v>
      </c>
      <c r="E42" s="511" t="s">
        <v>94</v>
      </c>
      <c r="F42" s="511" t="s">
        <v>60</v>
      </c>
      <c r="G42" s="510" t="s">
        <v>3</v>
      </c>
      <c r="H42" s="510" t="s">
        <v>6</v>
      </c>
      <c r="I42" s="511" t="s">
        <v>7</v>
      </c>
      <c r="J42" s="511" t="s">
        <v>95</v>
      </c>
      <c r="K42" s="511" t="s">
        <v>61</v>
      </c>
      <c r="L42" s="510" t="s">
        <v>37</v>
      </c>
      <c r="M42" s="510" t="s">
        <v>38</v>
      </c>
      <c r="T42" s="134"/>
    </row>
    <row r="43" spans="1:23" x14ac:dyDescent="0.25">
      <c r="A43" s="512" t="s">
        <v>725</v>
      </c>
      <c r="B43" s="434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434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514" t="s">
        <v>71</v>
      </c>
      <c r="B44" s="434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434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97"/>
      <c r="B45" s="434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434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97"/>
      <c r="B46" s="434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434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97"/>
      <c r="B47" s="434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434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97"/>
      <c r="B48" s="434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76"/>
      <c r="I48" s="3"/>
      <c r="J48" s="3"/>
      <c r="K48" s="3"/>
      <c r="L48" s="4"/>
      <c r="M48" s="4"/>
      <c r="T48" s="134"/>
    </row>
    <row r="49" spans="1:23" x14ac:dyDescent="0.25">
      <c r="A49" s="497"/>
      <c r="B49" s="434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76"/>
      <c r="I49" s="3"/>
      <c r="J49" s="3"/>
      <c r="K49" s="3"/>
      <c r="L49" s="4"/>
      <c r="M49" s="4"/>
      <c r="T49" s="134"/>
    </row>
    <row r="50" spans="1:23" x14ac:dyDescent="0.25">
      <c r="A50" s="497"/>
      <c r="B50" s="497"/>
      <c r="C50" s="497"/>
      <c r="D50" s="499"/>
      <c r="E50" s="499"/>
      <c r="F50" s="499"/>
      <c r="G50" s="497"/>
      <c r="H50" s="513"/>
      <c r="I50" s="499"/>
      <c r="J50" s="499"/>
      <c r="K50" s="499"/>
      <c r="L50" s="497"/>
      <c r="M50" s="497"/>
      <c r="T50" s="134"/>
    </row>
    <row r="51" spans="1:23" x14ac:dyDescent="0.25">
      <c r="A51" s="497"/>
      <c r="B51" s="497"/>
      <c r="C51" s="497"/>
      <c r="D51" s="499"/>
      <c r="E51" s="499"/>
      <c r="F51" s="499"/>
      <c r="G51" s="497"/>
      <c r="H51" s="513"/>
      <c r="I51" s="499"/>
      <c r="J51" s="499"/>
      <c r="K51" s="499"/>
      <c r="L51" s="497"/>
      <c r="M51" s="497"/>
      <c r="T51" s="134"/>
    </row>
    <row r="52" spans="1:23" x14ac:dyDescent="0.25">
      <c r="A52" s="497"/>
      <c r="B52" s="497"/>
      <c r="C52" s="497"/>
      <c r="D52" s="499"/>
      <c r="E52" s="499"/>
      <c r="F52" s="499"/>
      <c r="G52" s="497"/>
      <c r="H52" s="513"/>
      <c r="I52" s="499"/>
      <c r="J52" s="499"/>
      <c r="K52" s="499"/>
      <c r="L52" s="497"/>
      <c r="M52" s="497"/>
      <c r="T52" s="134"/>
    </row>
    <row r="53" spans="1:23" x14ac:dyDescent="0.25">
      <c r="A53" s="497"/>
      <c r="B53" s="497"/>
      <c r="C53" s="497"/>
      <c r="D53" s="499"/>
      <c r="E53" s="499"/>
      <c r="F53" s="499"/>
      <c r="G53" s="497"/>
      <c r="H53" s="513"/>
      <c r="I53" s="499"/>
      <c r="J53" s="499"/>
      <c r="K53" s="499"/>
      <c r="L53" s="497"/>
      <c r="M53" s="497"/>
      <c r="T53" s="134"/>
    </row>
    <row r="54" spans="1:23" x14ac:dyDescent="0.25">
      <c r="A54" s="497"/>
      <c r="B54" s="497"/>
      <c r="C54" s="497"/>
      <c r="D54" s="499"/>
      <c r="E54" s="499"/>
      <c r="F54" s="499"/>
      <c r="G54" s="497"/>
      <c r="H54" s="513"/>
      <c r="I54" s="499"/>
      <c r="J54" s="499"/>
      <c r="K54" s="499"/>
      <c r="L54" s="497"/>
      <c r="M54" s="497"/>
      <c r="T54" s="134"/>
    </row>
    <row r="55" spans="1:23" x14ac:dyDescent="0.25">
      <c r="A55" s="497"/>
      <c r="B55" s="497"/>
      <c r="C55" s="497"/>
      <c r="D55" s="499"/>
      <c r="E55" s="499"/>
      <c r="F55" s="499"/>
      <c r="G55" s="497"/>
      <c r="H55" s="513"/>
      <c r="I55" s="499"/>
      <c r="J55" s="499"/>
      <c r="K55" s="499"/>
      <c r="L55" s="497"/>
      <c r="M55" s="497"/>
      <c r="T55" s="134"/>
    </row>
    <row r="56" spans="1:23" x14ac:dyDescent="0.25">
      <c r="A56" s="497"/>
      <c r="B56" s="497"/>
      <c r="C56" s="497"/>
      <c r="D56" s="499"/>
      <c r="E56" s="499"/>
      <c r="F56" s="499"/>
      <c r="G56" s="497"/>
      <c r="H56" s="513"/>
      <c r="I56" s="499"/>
      <c r="J56" s="499"/>
      <c r="K56" s="499"/>
      <c r="L56" s="497"/>
      <c r="M56" s="497"/>
      <c r="T56" s="134"/>
    </row>
    <row r="57" spans="1:23" x14ac:dyDescent="0.25">
      <c r="A57" s="497"/>
      <c r="B57" s="497"/>
      <c r="C57" s="497"/>
      <c r="D57" s="499"/>
      <c r="E57" s="499"/>
      <c r="F57" s="499"/>
      <c r="G57" s="497"/>
      <c r="H57" s="513"/>
      <c r="I57" s="499"/>
      <c r="J57" s="499"/>
      <c r="K57" s="499"/>
      <c r="L57" s="497"/>
      <c r="M57" s="497"/>
      <c r="T57" s="134"/>
    </row>
    <row r="58" spans="1:23" x14ac:dyDescent="0.25">
      <c r="A58" s="497"/>
      <c r="B58" s="497"/>
      <c r="C58" s="497"/>
      <c r="D58" s="499"/>
      <c r="E58" s="499"/>
      <c r="F58" s="499"/>
      <c r="G58" s="497"/>
      <c r="H58" s="497"/>
      <c r="I58" s="499"/>
      <c r="J58" s="499"/>
      <c r="K58" s="499"/>
      <c r="L58" s="497"/>
      <c r="M58" s="497"/>
      <c r="T58" s="134"/>
    </row>
    <row r="59" spans="1:23" x14ac:dyDescent="0.25">
      <c r="A59" s="515" t="s">
        <v>81</v>
      </c>
      <c r="B59" s="516"/>
      <c r="C59" s="516">
        <f>SUM(C43:C58)</f>
        <v>400</v>
      </c>
      <c r="D59" s="517"/>
      <c r="E59" s="517"/>
      <c r="F59" s="517">
        <f>SUM(F43:F58)</f>
        <v>29283.5</v>
      </c>
      <c r="G59" s="516"/>
      <c r="H59" s="538">
        <f>SUM(H43:H58)</f>
        <v>400</v>
      </c>
      <c r="I59" s="517"/>
      <c r="J59" s="517"/>
      <c r="K59" s="517">
        <f>SUM(K43:K58)</f>
        <v>29742.82</v>
      </c>
      <c r="L59" s="516"/>
      <c r="M59" s="517">
        <f>SUM(M43:M51)</f>
        <v>0</v>
      </c>
      <c r="T59" s="134"/>
    </row>
    <row r="60" spans="1:23" ht="15.75" thickBot="1" x14ac:dyDescent="0.3">
      <c r="A60" s="518" t="s">
        <v>193</v>
      </c>
      <c r="B60" s="519"/>
      <c r="C60" s="520">
        <f>SumByColor($A$19,C43:C58)</f>
        <v>400</v>
      </c>
      <c r="D60" s="520"/>
      <c r="E60" s="520"/>
      <c r="F60" s="521">
        <f>SumByColor($A$19,F43:F58)</f>
        <v>29284</v>
      </c>
      <c r="G60" s="520"/>
      <c r="H60" s="520">
        <f>SumByColor($A$19,H43:H58)</f>
        <v>400</v>
      </c>
      <c r="I60" s="520"/>
      <c r="J60" s="520"/>
      <c r="K60" s="521">
        <f>SumByColor($A$19,K44:K58)</f>
        <v>26174</v>
      </c>
      <c r="L60" s="520"/>
      <c r="M60" s="52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362"/>
      <c r="B64" s="484" t="s">
        <v>113</v>
      </c>
      <c r="C64" s="484" t="s">
        <v>146</v>
      </c>
      <c r="D64" s="485" t="s">
        <v>145</v>
      </c>
      <c r="E64" s="486" t="s">
        <v>147</v>
      </c>
      <c r="F64" s="486" t="s">
        <v>65</v>
      </c>
      <c r="G64" s="488" t="s">
        <v>151</v>
      </c>
      <c r="H64" s="488" t="s">
        <v>88</v>
      </c>
      <c r="I64" s="488" t="s">
        <v>154</v>
      </c>
      <c r="J64" s="488" t="s">
        <v>494</v>
      </c>
      <c r="K64" s="488"/>
      <c r="L64" s="488" t="s">
        <v>965</v>
      </c>
      <c r="M64" s="488" t="s">
        <v>150</v>
      </c>
      <c r="N64" s="362"/>
      <c r="W64" s="134"/>
    </row>
    <row r="65" spans="1:23" x14ac:dyDescent="0.25">
      <c r="A65" s="362"/>
      <c r="B65" s="361">
        <v>43028</v>
      </c>
      <c r="C65" s="362">
        <v>50</v>
      </c>
      <c r="D65" s="363">
        <v>80.67</v>
      </c>
      <c r="E65" s="363">
        <v>84.59</v>
      </c>
      <c r="F65" s="363">
        <f t="shared" ref="F65:F88" si="2">C65*(E65-D65)</f>
        <v>196.00000000000009</v>
      </c>
      <c r="G65" s="363">
        <f t="shared" ref="G65:G88" si="3">D65*C65</f>
        <v>4033.5</v>
      </c>
      <c r="H65" s="364">
        <f t="shared" ref="H65:H88" si="4">(E65-D65)/D65</f>
        <v>4.8593033345729536E-2</v>
      </c>
      <c r="I65" s="363"/>
      <c r="J65" s="363"/>
      <c r="K65" s="363"/>
      <c r="L65" s="363"/>
      <c r="M65" s="363"/>
      <c r="N65" s="362"/>
      <c r="W65" s="134"/>
    </row>
    <row r="66" spans="1:23" x14ac:dyDescent="0.25">
      <c r="A66" s="362"/>
      <c r="B66" s="361">
        <v>43035</v>
      </c>
      <c r="C66" s="362">
        <v>100</v>
      </c>
      <c r="D66" s="363">
        <v>79.424999999999997</v>
      </c>
      <c r="E66" s="363">
        <v>81.47</v>
      </c>
      <c r="F66" s="363">
        <f t="shared" si="2"/>
        <v>204.50000000000017</v>
      </c>
      <c r="G66" s="363">
        <f t="shared" si="3"/>
        <v>7942.5</v>
      </c>
      <c r="H66" s="364">
        <f t="shared" si="4"/>
        <v>2.574756059175325E-2</v>
      </c>
      <c r="I66" s="363"/>
      <c r="J66" s="363"/>
      <c r="K66" s="363"/>
      <c r="L66" s="363"/>
      <c r="M66" s="363"/>
      <c r="N66" s="362"/>
      <c r="W66" s="134"/>
    </row>
    <row r="67" spans="1:23" x14ac:dyDescent="0.25">
      <c r="A67" s="362"/>
      <c r="B67" s="361">
        <v>43059</v>
      </c>
      <c r="C67" s="362">
        <v>200</v>
      </c>
      <c r="D67" s="363">
        <v>73.987499999999997</v>
      </c>
      <c r="E67" s="363">
        <v>66.78</v>
      </c>
      <c r="F67" s="363">
        <f t="shared" si="2"/>
        <v>-1441.4999999999991</v>
      </c>
      <c r="G67" s="363">
        <f t="shared" si="3"/>
        <v>14797.5</v>
      </c>
      <c r="H67" s="364">
        <f t="shared" si="4"/>
        <v>-9.741510390268622E-2</v>
      </c>
      <c r="I67" s="363"/>
      <c r="J67" s="363"/>
      <c r="K67" s="363"/>
      <c r="L67" s="703"/>
      <c r="M67" s="703"/>
      <c r="N67" s="362"/>
      <c r="W67" s="134"/>
    </row>
    <row r="68" spans="1:23" x14ac:dyDescent="0.25">
      <c r="A68" s="362">
        <v>50</v>
      </c>
      <c r="B68" s="361">
        <v>43069</v>
      </c>
      <c r="C68" s="362">
        <v>150</v>
      </c>
      <c r="D68" s="363">
        <v>74.853899999999996</v>
      </c>
      <c r="E68" s="363">
        <v>71.45</v>
      </c>
      <c r="F68" s="363">
        <f t="shared" si="2"/>
        <v>-510.58499999999896</v>
      </c>
      <c r="G68" s="363">
        <f t="shared" si="3"/>
        <v>11228.084999999999</v>
      </c>
      <c r="H68" s="364">
        <f t="shared" si="4"/>
        <v>-4.5473916522719503E-2</v>
      </c>
      <c r="I68" s="363">
        <v>74.3</v>
      </c>
      <c r="J68" s="363"/>
      <c r="K68" s="363"/>
      <c r="L68" s="703"/>
      <c r="M68" s="703"/>
      <c r="N68" s="362"/>
      <c r="W68" s="134"/>
    </row>
    <row r="69" spans="1:23" x14ac:dyDescent="0.25">
      <c r="A69" s="362">
        <v>50</v>
      </c>
      <c r="B69" s="361">
        <v>43075</v>
      </c>
      <c r="C69" s="362">
        <v>150</v>
      </c>
      <c r="D69" s="363">
        <v>74.853899999999996</v>
      </c>
      <c r="E69" s="363">
        <v>67.58</v>
      </c>
      <c r="F69" s="363">
        <f t="shared" si="2"/>
        <v>-1091.0849999999996</v>
      </c>
      <c r="G69" s="363">
        <f t="shared" si="3"/>
        <v>11228.084999999999</v>
      </c>
      <c r="H69" s="364">
        <f t="shared" si="4"/>
        <v>-9.7174629511621952E-2</v>
      </c>
      <c r="I69" s="363"/>
      <c r="J69" s="363"/>
      <c r="K69" s="363"/>
      <c r="L69" s="703"/>
      <c r="M69" s="703"/>
      <c r="N69" s="362"/>
      <c r="W69" s="134"/>
    </row>
    <row r="70" spans="1:23" x14ac:dyDescent="0.25">
      <c r="A70" s="362">
        <v>150</v>
      </c>
      <c r="B70" s="361">
        <v>43096</v>
      </c>
      <c r="C70" s="362">
        <v>150</v>
      </c>
      <c r="D70" s="363">
        <v>74.853899999999996</v>
      </c>
      <c r="E70" s="363">
        <v>70.459999999999994</v>
      </c>
      <c r="F70" s="363">
        <f t="shared" si="2"/>
        <v>-659.08500000000026</v>
      </c>
      <c r="G70" s="363">
        <f t="shared" si="3"/>
        <v>11228.084999999999</v>
      </c>
      <c r="H70" s="364">
        <f t="shared" si="4"/>
        <v>-5.8699680310578373E-2</v>
      </c>
      <c r="I70" s="363">
        <v>74.3</v>
      </c>
      <c r="J70" s="363">
        <v>49.12</v>
      </c>
      <c r="K70" s="363"/>
      <c r="L70" s="703"/>
      <c r="M70" s="703"/>
      <c r="N70" s="362"/>
    </row>
    <row r="71" spans="1:23" x14ac:dyDescent="0.25">
      <c r="A71" s="362">
        <v>100</v>
      </c>
      <c r="B71" s="361">
        <v>43105</v>
      </c>
      <c r="C71" s="362">
        <v>100</v>
      </c>
      <c r="D71" s="363">
        <v>75.641599999999997</v>
      </c>
      <c r="E71" s="363">
        <v>73.28</v>
      </c>
      <c r="F71" s="363">
        <f t="shared" si="2"/>
        <v>-236.15999999999957</v>
      </c>
      <c r="G71" s="363">
        <f t="shared" si="3"/>
        <v>7564.16</v>
      </c>
      <c r="H71" s="364">
        <f t="shared" si="4"/>
        <v>-3.1220915475082437E-2</v>
      </c>
      <c r="I71" s="363">
        <f>D71*0.99</f>
        <v>74.885183999999995</v>
      </c>
      <c r="J71" s="363"/>
      <c r="K71" s="363"/>
      <c r="L71" s="703"/>
      <c r="M71" s="703"/>
      <c r="N71" s="362"/>
    </row>
    <row r="72" spans="1:23" x14ac:dyDescent="0.25">
      <c r="A72" s="362">
        <v>100</v>
      </c>
      <c r="B72" s="361">
        <v>43108</v>
      </c>
      <c r="C72" s="362">
        <v>100</v>
      </c>
      <c r="D72" s="363">
        <v>75.641599999999997</v>
      </c>
      <c r="E72" s="363">
        <v>74.34</v>
      </c>
      <c r="F72" s="363">
        <f t="shared" si="2"/>
        <v>-130.15999999999934</v>
      </c>
      <c r="G72" s="363">
        <f t="shared" si="3"/>
        <v>7564.16</v>
      </c>
      <c r="H72" s="364">
        <f t="shared" si="4"/>
        <v>-1.7207462560284201E-2</v>
      </c>
      <c r="I72" s="363"/>
      <c r="J72" s="363"/>
      <c r="K72" s="363"/>
      <c r="L72" s="703"/>
      <c r="M72" s="703"/>
      <c r="N72" s="362"/>
    </row>
    <row r="73" spans="1:23" x14ac:dyDescent="0.25">
      <c r="A73" s="362">
        <v>100</v>
      </c>
      <c r="B73" s="361">
        <v>43110</v>
      </c>
      <c r="C73" s="362">
        <v>100</v>
      </c>
      <c r="D73" s="363">
        <v>75.641599999999997</v>
      </c>
      <c r="E73" s="363">
        <v>72.790000000000006</v>
      </c>
      <c r="F73" s="363">
        <f t="shared" si="2"/>
        <v>-285.15999999999906</v>
      </c>
      <c r="G73" s="363">
        <f t="shared" si="3"/>
        <v>7564.16</v>
      </c>
      <c r="H73" s="364">
        <f t="shared" si="4"/>
        <v>-3.7698832388526823E-2</v>
      </c>
      <c r="I73" s="363"/>
      <c r="J73" s="363"/>
      <c r="K73" s="363"/>
      <c r="L73" s="703"/>
      <c r="M73" s="703"/>
      <c r="N73" s="362"/>
    </row>
    <row r="74" spans="1:23" x14ac:dyDescent="0.25">
      <c r="A74" s="362">
        <v>100</v>
      </c>
      <c r="B74" s="361">
        <v>43112</v>
      </c>
      <c r="C74" s="362">
        <v>100</v>
      </c>
      <c r="D74" s="363">
        <v>75.641599999999997</v>
      </c>
      <c r="E74" s="363">
        <v>74.84</v>
      </c>
      <c r="F74" s="363">
        <f t="shared" si="2"/>
        <v>-80.159999999999343</v>
      </c>
      <c r="G74" s="363">
        <f t="shared" si="3"/>
        <v>7564.16</v>
      </c>
      <c r="H74" s="364">
        <f t="shared" si="4"/>
        <v>-1.0597343260851086E-2</v>
      </c>
      <c r="I74" s="363"/>
      <c r="J74" s="363">
        <v>65</v>
      </c>
      <c r="K74" s="489" t="s">
        <v>860</v>
      </c>
      <c r="L74" s="703"/>
      <c r="M74" s="703"/>
      <c r="N74" s="362"/>
    </row>
    <row r="75" spans="1:23" x14ac:dyDescent="0.25">
      <c r="A75" s="362">
        <v>50</v>
      </c>
      <c r="B75" s="361">
        <v>43117</v>
      </c>
      <c r="C75" s="362">
        <v>50</v>
      </c>
      <c r="D75" s="363">
        <v>74.605000000000004</v>
      </c>
      <c r="E75" s="363">
        <v>76.680000000000007</v>
      </c>
      <c r="F75" s="363">
        <f t="shared" si="2"/>
        <v>103.75000000000014</v>
      </c>
      <c r="G75" s="363">
        <f t="shared" si="3"/>
        <v>3730.25</v>
      </c>
      <c r="H75" s="364">
        <f t="shared" si="4"/>
        <v>2.7813149252731088E-2</v>
      </c>
      <c r="I75" s="363"/>
      <c r="J75" s="363">
        <v>70</v>
      </c>
      <c r="K75" s="489" t="s">
        <v>885</v>
      </c>
      <c r="L75" s="703"/>
      <c r="M75" s="703"/>
      <c r="N75" s="362"/>
    </row>
    <row r="76" spans="1:23" x14ac:dyDescent="0.25">
      <c r="A76" s="362">
        <v>50</v>
      </c>
      <c r="B76" s="361">
        <v>43118</v>
      </c>
      <c r="C76" s="362">
        <v>100</v>
      </c>
      <c r="D76" s="363">
        <v>74.942499999999995</v>
      </c>
      <c r="E76" s="363">
        <v>74.62</v>
      </c>
      <c r="F76" s="363">
        <f t="shared" si="2"/>
        <v>-32.249999999999091</v>
      </c>
      <c r="G76" s="363">
        <f t="shared" si="3"/>
        <v>7494.25</v>
      </c>
      <c r="H76" s="364">
        <f t="shared" si="4"/>
        <v>-4.3032991960501839E-3</v>
      </c>
      <c r="I76" s="363"/>
      <c r="J76" s="363"/>
      <c r="K76" s="363"/>
      <c r="L76" s="363"/>
      <c r="M76" s="363"/>
      <c r="N76" s="362"/>
    </row>
    <row r="77" spans="1:23" x14ac:dyDescent="0.25">
      <c r="A77" s="362">
        <v>50</v>
      </c>
      <c r="B77" s="361">
        <v>43121</v>
      </c>
      <c r="C77" s="362">
        <v>100</v>
      </c>
      <c r="D77" s="363">
        <v>74.94</v>
      </c>
      <c r="E77" s="363">
        <v>75.959999999999994</v>
      </c>
      <c r="F77" s="363">
        <f t="shared" si="2"/>
        <v>101.9999999999996</v>
      </c>
      <c r="G77" s="363">
        <f t="shared" si="3"/>
        <v>7494</v>
      </c>
      <c r="H77" s="364">
        <f t="shared" si="4"/>
        <v>1.3610888710968723E-2</v>
      </c>
      <c r="I77" s="363"/>
      <c r="J77" s="363"/>
      <c r="K77" s="363"/>
      <c r="L77" s="363"/>
      <c r="M77" s="363"/>
      <c r="N77" s="362"/>
    </row>
    <row r="78" spans="1:23" x14ac:dyDescent="0.25">
      <c r="A78" s="362">
        <v>0</v>
      </c>
      <c r="B78" s="361">
        <v>43126</v>
      </c>
      <c r="C78" s="362">
        <v>50</v>
      </c>
      <c r="D78" s="363">
        <v>71.09</v>
      </c>
      <c r="E78" s="363">
        <v>78.930000000000007</v>
      </c>
      <c r="F78" s="363">
        <f t="shared" si="2"/>
        <v>392.00000000000017</v>
      </c>
      <c r="G78" s="363">
        <f t="shared" si="3"/>
        <v>3554.5</v>
      </c>
      <c r="H78" s="364">
        <f t="shared" si="4"/>
        <v>0.1102827401884935</v>
      </c>
      <c r="I78" s="363"/>
      <c r="J78" s="363"/>
      <c r="K78" s="363"/>
      <c r="L78" s="363"/>
      <c r="M78" s="363"/>
      <c r="N78" s="362"/>
    </row>
    <row r="79" spans="1:23" x14ac:dyDescent="0.25">
      <c r="A79" s="362"/>
      <c r="B79" s="361">
        <v>43131</v>
      </c>
      <c r="C79" s="362">
        <v>100</v>
      </c>
      <c r="D79" s="363">
        <v>74.383399999999995</v>
      </c>
      <c r="E79" s="363">
        <v>75.680000000000007</v>
      </c>
      <c r="F79" s="363">
        <f t="shared" si="2"/>
        <v>129.66000000000122</v>
      </c>
      <c r="G79" s="363">
        <f t="shared" si="3"/>
        <v>7438.3399999999992</v>
      </c>
      <c r="H79" s="364">
        <f t="shared" si="4"/>
        <v>1.7431308598424008E-2</v>
      </c>
      <c r="I79" s="363" t="s">
        <v>908</v>
      </c>
      <c r="J79" s="363"/>
      <c r="K79" s="363"/>
      <c r="L79" s="363"/>
      <c r="M79" s="363"/>
      <c r="N79" s="362"/>
    </row>
    <row r="80" spans="1:23" x14ac:dyDescent="0.25">
      <c r="A80" s="362">
        <v>0</v>
      </c>
      <c r="B80" s="361">
        <v>43146</v>
      </c>
      <c r="C80" s="362">
        <v>100</v>
      </c>
      <c r="D80" s="363">
        <v>74.38</v>
      </c>
      <c r="E80" s="363">
        <v>68.38</v>
      </c>
      <c r="F80" s="363">
        <f t="shared" si="2"/>
        <v>-600</v>
      </c>
      <c r="G80" s="363">
        <f t="shared" si="3"/>
        <v>7438</v>
      </c>
      <c r="H80" s="364">
        <f t="shared" si="4"/>
        <v>-8.0666845926324282E-2</v>
      </c>
      <c r="I80" s="363"/>
      <c r="J80" s="363"/>
      <c r="K80" s="363"/>
      <c r="L80" s="363"/>
      <c r="M80" s="363"/>
      <c r="N80" s="362"/>
    </row>
    <row r="81" spans="1:14" x14ac:dyDescent="0.25">
      <c r="A81" s="362">
        <v>50</v>
      </c>
      <c r="B81" s="361">
        <v>43151</v>
      </c>
      <c r="C81" s="362">
        <v>200</v>
      </c>
      <c r="D81" s="363">
        <v>71.381699999999995</v>
      </c>
      <c r="E81" s="363">
        <v>67.97</v>
      </c>
      <c r="F81" s="363">
        <f t="shared" si="2"/>
        <v>-682.33999999999924</v>
      </c>
      <c r="G81" s="363">
        <f t="shared" si="3"/>
        <v>14276.339999999998</v>
      </c>
      <c r="H81" s="364">
        <f t="shared" si="4"/>
        <v>-4.7795163186082658E-2</v>
      </c>
      <c r="I81" s="363">
        <v>71</v>
      </c>
      <c r="J81" s="363"/>
      <c r="K81" s="363"/>
      <c r="L81" s="363"/>
      <c r="M81" s="363"/>
      <c r="N81" s="362"/>
    </row>
    <row r="82" spans="1:14" x14ac:dyDescent="0.25">
      <c r="A82" s="362">
        <v>100</v>
      </c>
      <c r="B82" s="361">
        <v>43163</v>
      </c>
      <c r="C82" s="362">
        <v>200</v>
      </c>
      <c r="D82" s="363">
        <v>71.38</v>
      </c>
      <c r="E82" s="363">
        <v>65.19</v>
      </c>
      <c r="F82" s="363">
        <f t="shared" si="2"/>
        <v>-1237.9999999999995</v>
      </c>
      <c r="G82" s="363">
        <f t="shared" si="3"/>
        <v>14276</v>
      </c>
      <c r="H82" s="364">
        <f t="shared" si="4"/>
        <v>-8.6718968898851195E-2</v>
      </c>
      <c r="I82" s="363"/>
      <c r="J82" s="363"/>
      <c r="K82" s="363"/>
      <c r="L82" s="363"/>
      <c r="M82" s="363"/>
      <c r="N82" s="362"/>
    </row>
    <row r="83" spans="1:14" x14ac:dyDescent="0.25">
      <c r="A83" s="362">
        <v>100</v>
      </c>
      <c r="B83" s="361">
        <v>43168</v>
      </c>
      <c r="C83" s="362">
        <v>200</v>
      </c>
      <c r="D83" s="363">
        <v>71.38</v>
      </c>
      <c r="E83" s="363">
        <v>68.430000000000007</v>
      </c>
      <c r="F83" s="363">
        <f t="shared" si="2"/>
        <v>-589.99999999999773</v>
      </c>
      <c r="G83" s="363">
        <f t="shared" si="3"/>
        <v>14276</v>
      </c>
      <c r="H83" s="364">
        <f t="shared" si="4"/>
        <v>-4.1328103110114721E-2</v>
      </c>
      <c r="I83" s="363"/>
      <c r="J83" s="363"/>
      <c r="K83" s="363"/>
      <c r="L83" s="363"/>
      <c r="M83" s="363"/>
      <c r="N83" s="362"/>
    </row>
    <row r="84" spans="1:14" x14ac:dyDescent="0.25">
      <c r="A84" s="362">
        <v>200</v>
      </c>
      <c r="B84" s="361">
        <v>43184</v>
      </c>
      <c r="C84" s="362">
        <v>200</v>
      </c>
      <c r="D84" s="363">
        <v>71.38</v>
      </c>
      <c r="E84" s="363">
        <v>64.59</v>
      </c>
      <c r="F84" s="363">
        <f t="shared" si="2"/>
        <v>-1357.9999999999984</v>
      </c>
      <c r="G84" s="363">
        <f t="shared" si="3"/>
        <v>14276</v>
      </c>
      <c r="H84" s="364">
        <f t="shared" si="4"/>
        <v>-9.512468478565414E-2</v>
      </c>
      <c r="I84" s="363"/>
      <c r="J84" s="363"/>
      <c r="K84" s="363"/>
      <c r="L84" s="363"/>
      <c r="M84" s="363"/>
      <c r="N84" s="362"/>
    </row>
    <row r="85" spans="1:14" x14ac:dyDescent="0.25">
      <c r="A85" s="362">
        <v>200</v>
      </c>
      <c r="B85" s="361">
        <v>43185</v>
      </c>
      <c r="C85" s="362">
        <v>200</v>
      </c>
      <c r="D85" s="363">
        <v>71.38</v>
      </c>
      <c r="E85" s="363">
        <v>65.540000000000006</v>
      </c>
      <c r="F85" s="363">
        <f t="shared" si="2"/>
        <v>-1167.9999999999977</v>
      </c>
      <c r="G85" s="363">
        <f t="shared" si="3"/>
        <v>14276</v>
      </c>
      <c r="H85" s="364">
        <f t="shared" si="4"/>
        <v>-8.1815634631549311E-2</v>
      </c>
      <c r="I85" s="363">
        <v>71</v>
      </c>
      <c r="J85" s="363"/>
      <c r="K85" s="363"/>
      <c r="L85" s="363"/>
      <c r="M85" s="363"/>
      <c r="N85" s="362"/>
    </row>
    <row r="86" spans="1:14" x14ac:dyDescent="0.25">
      <c r="A86" s="362">
        <v>200</v>
      </c>
      <c r="B86" s="361">
        <v>43186</v>
      </c>
      <c r="C86" s="362">
        <v>200</v>
      </c>
      <c r="D86" s="363">
        <v>71.38</v>
      </c>
      <c r="E86" s="363">
        <v>65.08</v>
      </c>
      <c r="F86" s="363">
        <f t="shared" si="2"/>
        <v>-1259.9999999999995</v>
      </c>
      <c r="G86" s="363">
        <f t="shared" si="3"/>
        <v>14276</v>
      </c>
      <c r="H86" s="364">
        <f t="shared" si="4"/>
        <v>-8.8260016811431738E-2</v>
      </c>
      <c r="I86" s="363"/>
      <c r="J86" s="363"/>
      <c r="K86" s="363"/>
      <c r="L86" s="363"/>
      <c r="M86" s="363"/>
      <c r="N86" s="362"/>
    </row>
    <row r="87" spans="1:14" x14ac:dyDescent="0.25">
      <c r="A87" s="362">
        <v>200</v>
      </c>
      <c r="B87" s="361">
        <v>43196</v>
      </c>
      <c r="C87" s="362">
        <v>200</v>
      </c>
      <c r="D87" s="363">
        <v>71.38</v>
      </c>
      <c r="E87" s="363">
        <v>66.78</v>
      </c>
      <c r="F87" s="363">
        <f t="shared" si="2"/>
        <v>-919.99999999999886</v>
      </c>
      <c r="G87" s="363">
        <f t="shared" si="3"/>
        <v>14276</v>
      </c>
      <c r="H87" s="364">
        <f t="shared" si="4"/>
        <v>-6.4443821798823131E-2</v>
      </c>
      <c r="I87" s="363"/>
      <c r="J87" s="363">
        <v>47</v>
      </c>
      <c r="K87" s="363"/>
      <c r="L87" s="363">
        <v>16.350000000000001</v>
      </c>
      <c r="M87" s="363"/>
      <c r="N87" s="362"/>
    </row>
    <row r="88" spans="1:14" x14ac:dyDescent="0.25">
      <c r="A88" s="362">
        <v>200</v>
      </c>
      <c r="B88" s="361">
        <v>43212</v>
      </c>
      <c r="C88" s="362">
        <v>200</v>
      </c>
      <c r="D88" s="363">
        <v>71.38</v>
      </c>
      <c r="E88" s="363">
        <v>69.069999999999993</v>
      </c>
      <c r="F88" s="363">
        <f t="shared" si="2"/>
        <v>-462.00000000000045</v>
      </c>
      <c r="G88" s="363">
        <f t="shared" si="3"/>
        <v>14276</v>
      </c>
      <c r="H88" s="364">
        <f t="shared" si="4"/>
        <v>-3.2362006164191687E-2</v>
      </c>
      <c r="I88" s="363"/>
      <c r="J88" s="363">
        <v>52.58</v>
      </c>
      <c r="K88" s="363"/>
      <c r="L88" s="363"/>
      <c r="M88" s="363"/>
      <c r="N88" s="362"/>
    </row>
    <row r="89" spans="1:14" x14ac:dyDescent="0.25">
      <c r="A89" s="362">
        <v>0</v>
      </c>
      <c r="B89" s="361">
        <v>43213</v>
      </c>
      <c r="C89" s="362">
        <v>0</v>
      </c>
      <c r="D89" s="363"/>
      <c r="E89" s="363">
        <v>73.790000000000006</v>
      </c>
      <c r="F89" s="363">
        <v>459.32</v>
      </c>
      <c r="G89" s="363"/>
      <c r="H89" s="364"/>
      <c r="I89" s="363"/>
      <c r="J89" s="363"/>
      <c r="K89" s="363"/>
      <c r="L89" s="363"/>
      <c r="M89" s="363"/>
      <c r="N89" s="362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26" priority="49">
      <formula>Q7&gt;0</formula>
    </cfRule>
    <cfRule type="expression" dxfId="925" priority="50">
      <formula>Q7&lt;0</formula>
    </cfRule>
  </conditionalFormatting>
  <conditionalFormatting sqref="Q8">
    <cfRule type="expression" dxfId="924" priority="47">
      <formula>Q8&gt;0</formula>
    </cfRule>
    <cfRule type="expression" dxfId="923" priority="48">
      <formula>Q8&lt;0</formula>
    </cfRule>
  </conditionalFormatting>
  <conditionalFormatting sqref="F26:F38">
    <cfRule type="expression" dxfId="922" priority="45">
      <formula>F26&gt;0</formula>
    </cfRule>
    <cfRule type="expression" dxfId="921" priority="46">
      <formula>F26&lt;0</formula>
    </cfRule>
  </conditionalFormatting>
  <conditionalFormatting sqref="H26:H38">
    <cfRule type="expression" dxfId="920" priority="43">
      <formula>H26&gt;0</formula>
    </cfRule>
    <cfRule type="expression" dxfId="919" priority="44">
      <formula>H26&lt;0</formula>
    </cfRule>
  </conditionalFormatting>
  <conditionalFormatting sqref="H25">
    <cfRule type="expression" dxfId="918" priority="23">
      <formula>H25&gt;0</formula>
    </cfRule>
    <cfRule type="expression" dxfId="917" priority="24">
      <formula>H25&lt;0</formula>
    </cfRule>
  </conditionalFormatting>
  <conditionalFormatting sqref="Q10">
    <cfRule type="expression" dxfId="916" priority="37">
      <formula>Q10&gt;0</formula>
    </cfRule>
    <cfRule type="expression" dxfId="915" priority="38">
      <formula>Q10&lt;0</formula>
    </cfRule>
  </conditionalFormatting>
  <conditionalFormatting sqref="F25">
    <cfRule type="expression" dxfId="914" priority="25">
      <formula>F25&gt;0</formula>
    </cfRule>
    <cfRule type="expression" dxfId="913" priority="26">
      <formula>F25&lt;0</formula>
    </cfRule>
  </conditionalFormatting>
  <conditionalFormatting sqref="J65:K72">
    <cfRule type="expression" dxfId="912" priority="19">
      <formula>J65&gt;0</formula>
    </cfRule>
    <cfRule type="expression" dxfId="911" priority="20">
      <formula>J65&lt;0</formula>
    </cfRule>
  </conditionalFormatting>
  <conditionalFormatting sqref="F65:F83 F89">
    <cfRule type="expression" dxfId="910" priority="17">
      <formula>F65&gt;0</formula>
    </cfRule>
    <cfRule type="expression" dxfId="909" priority="18">
      <formula>F65&lt;0</formula>
    </cfRule>
  </conditionalFormatting>
  <conditionalFormatting sqref="H65:H83 H89">
    <cfRule type="expression" dxfId="908" priority="15">
      <formula>H65&gt;0</formula>
    </cfRule>
    <cfRule type="expression" dxfId="907" priority="16">
      <formula>H65&lt;0</formula>
    </cfRule>
  </conditionalFormatting>
  <conditionalFormatting sqref="J76:J78">
    <cfRule type="expression" dxfId="906" priority="13">
      <formula>J76&gt;0</formula>
    </cfRule>
    <cfRule type="expression" dxfId="905" priority="14">
      <formula>J76&lt;0</formula>
    </cfRule>
  </conditionalFormatting>
  <conditionalFormatting sqref="K76:K78">
    <cfRule type="expression" dxfId="904" priority="11">
      <formula>K76&gt;0</formula>
    </cfRule>
    <cfRule type="expression" dxfId="903" priority="12">
      <formula>K76&lt;0</formula>
    </cfRule>
  </conditionalFormatting>
  <conditionalFormatting sqref="L65:L78">
    <cfRule type="expression" dxfId="902" priority="9">
      <formula>L65&gt;0</formula>
    </cfRule>
    <cfRule type="expression" dxfId="901" priority="10">
      <formula>L65&lt;0</formula>
    </cfRule>
  </conditionalFormatting>
  <conditionalFormatting sqref="F84:F88">
    <cfRule type="expression" dxfId="900" priority="7">
      <formula>F84&gt;0</formula>
    </cfRule>
    <cfRule type="expression" dxfId="899" priority="8">
      <formula>F84&lt;0</formula>
    </cfRule>
  </conditionalFormatting>
  <conditionalFormatting sqref="H84:H88">
    <cfRule type="expression" dxfId="898" priority="5">
      <formula>H84&gt;0</formula>
    </cfRule>
    <cfRule type="expression" dxfId="897" priority="6">
      <formula>H84&lt;0</formula>
    </cfRule>
  </conditionalFormatting>
  <conditionalFormatting sqref="M65:M78">
    <cfRule type="expression" dxfId="896" priority="3">
      <formula>M65&gt;0</formula>
    </cfRule>
    <cfRule type="expression" dxfId="895" priority="4">
      <formula>M65&lt;0</formula>
    </cfRule>
  </conditionalFormatting>
  <conditionalFormatting sqref="M26:M31">
    <cfRule type="expression" dxfId="894" priority="1">
      <formula>M26&gt;0</formula>
    </cfRule>
    <cfRule type="expression" dxfId="893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16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1095</v>
      </c>
      <c r="Z1" s="11" t="s">
        <v>1093</v>
      </c>
      <c r="AA1" s="11" t="s">
        <v>1094</v>
      </c>
      <c r="AB1" s="11" t="s">
        <v>1096</v>
      </c>
      <c r="AC1" s="11" t="s">
        <v>1093</v>
      </c>
      <c r="AD1" s="11" t="s">
        <v>1094</v>
      </c>
      <c r="AE1" s="11" t="s">
        <v>1097</v>
      </c>
      <c r="AF1" s="11" t="s">
        <v>1093</v>
      </c>
      <c r="AG1" s="11" t="s">
        <v>1094</v>
      </c>
      <c r="AH1" s="11" t="s">
        <v>1098</v>
      </c>
      <c r="AI1" s="11" t="s">
        <v>1093</v>
      </c>
      <c r="AJ1" s="11" t="s">
        <v>1094</v>
      </c>
      <c r="AK1" s="11" t="s">
        <v>1099</v>
      </c>
      <c r="AM1" s="11" t="s">
        <v>1100</v>
      </c>
      <c r="AO1" s="11" t="s">
        <v>1101</v>
      </c>
    </row>
    <row r="2" spans="1:41" x14ac:dyDescent="0.25">
      <c r="A2" s="6" t="s">
        <v>816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8" si="0">H2*I2-J2</f>
        <v>4989.88</v>
      </c>
      <c r="L2" s="72">
        <v>43129</v>
      </c>
      <c r="M2" s="43">
        <v>26</v>
      </c>
      <c r="O2" s="11" t="s">
        <v>57</v>
      </c>
      <c r="Q2" s="425">
        <f>C24-H24</f>
        <v>500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212</v>
      </c>
      <c r="AJ2">
        <f>$Q$2*$Q$4</f>
        <v>11885</v>
      </c>
      <c r="AK2">
        <f ca="1">AJ2*EXP(-$X$2 * AI2/365.25)</f>
        <v>22245.403812165441</v>
      </c>
      <c r="AM2" s="2">
        <f>Q10</f>
        <v>0</v>
      </c>
      <c r="AO2">
        <f ca="1" xml:space="preserve"> (SUM(AB:AB) - SUM(AE:AE) - SUM(AH:AH) - SUM(AK:AK))/SUM(AB:AB)</f>
        <v>-0.38811331686842959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(F24-K24-M24)/Q2)</f>
        <v>29.009419999999992</v>
      </c>
      <c r="U3" t="s">
        <v>1010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212</v>
      </c>
      <c r="AJ3">
        <f t="shared" ref="AJ3:AJ17" si="11">$Q$2*$Q$4</f>
        <v>11885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23.77</v>
      </c>
      <c r="R4" s="495">
        <v>1.5800000000000002E-2</v>
      </c>
      <c r="U4" t="s">
        <v>1011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212</v>
      </c>
      <c r="AJ4">
        <f t="shared" si="11"/>
        <v>11885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4"/>
      <c r="M5" s="4"/>
      <c r="O5" s="11" t="s">
        <v>67</v>
      </c>
      <c r="Q5" s="3">
        <f>Q4*Q2</f>
        <v>11885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-43098</v>
      </c>
      <c r="AG5" s="2">
        <f t="shared" si="8"/>
        <v>0</v>
      </c>
      <c r="AH5">
        <f t="shared" si="9"/>
        <v>0</v>
      </c>
      <c r="AI5" s="2">
        <f t="shared" ca="1" si="10"/>
        <v>212</v>
      </c>
      <c r="AJ5">
        <f t="shared" si="11"/>
        <v>11885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14504.709999999995</v>
      </c>
      <c r="T6" s="1">
        <v>43032</v>
      </c>
      <c r="U6" t="s">
        <v>875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212</v>
      </c>
      <c r="AJ6">
        <f t="shared" si="11"/>
        <v>11885</v>
      </c>
    </row>
    <row r="7" spans="1:41" x14ac:dyDescent="0.25">
      <c r="B7" s="434">
        <v>43160</v>
      </c>
      <c r="C7" s="4">
        <v>100</v>
      </c>
      <c r="D7" s="3">
        <v>28.28</v>
      </c>
      <c r="E7" s="3">
        <v>0</v>
      </c>
      <c r="F7" s="3">
        <f t="shared" ref="F7:F17" si="12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-2619.7099999999955</v>
      </c>
      <c r="R7">
        <v>300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212</v>
      </c>
      <c r="AJ7">
        <f t="shared" si="11"/>
        <v>11885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434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180</v>
      </c>
      <c r="P8" s="33"/>
      <c r="Q8" s="2">
        <f>K24+M24-F24+Q2*Q4</f>
        <v>-2619.7099999999955</v>
      </c>
      <c r="T8" s="1">
        <v>43121</v>
      </c>
      <c r="U8" t="s">
        <v>893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212</v>
      </c>
      <c r="AJ8">
        <f t="shared" si="11"/>
        <v>11885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-0.18061098774122311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-43098</v>
      </c>
      <c r="AD9" s="2">
        <f t="shared" si="5"/>
        <v>0</v>
      </c>
      <c r="AE9">
        <f t="shared" si="6"/>
        <v>0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212</v>
      </c>
      <c r="AJ9">
        <f t="shared" si="11"/>
        <v>11885</v>
      </c>
    </row>
    <row r="10" spans="1:41" x14ac:dyDescent="0.25">
      <c r="B10" s="434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H10" s="70"/>
      <c r="O10" s="11" t="s">
        <v>206</v>
      </c>
      <c r="P10" s="33"/>
      <c r="Q10" s="2">
        <f>M72</f>
        <v>0</v>
      </c>
      <c r="T10" s="1">
        <v>43160</v>
      </c>
      <c r="U10" t="s">
        <v>966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-43098</v>
      </c>
      <c r="AD10" s="2">
        <f t="shared" si="5"/>
        <v>0</v>
      </c>
      <c r="AE10">
        <f t="shared" si="6"/>
        <v>0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212</v>
      </c>
      <c r="AJ10">
        <f t="shared" si="11"/>
        <v>11885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H11" s="70"/>
      <c r="O11" s="11" t="s">
        <v>176</v>
      </c>
      <c r="P11" s="33"/>
      <c r="Q11" s="134">
        <f>R11*4/Q4</f>
        <v>4.3752629364745478E-2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-43098</v>
      </c>
      <c r="AD11" s="2">
        <f t="shared" si="5"/>
        <v>0</v>
      </c>
      <c r="AE11">
        <f t="shared" si="6"/>
        <v>0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212</v>
      </c>
      <c r="AJ11">
        <f t="shared" si="11"/>
        <v>11885</v>
      </c>
    </row>
    <row r="12" spans="1:41" x14ac:dyDescent="0.25">
      <c r="B12" s="434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H12" s="70"/>
      <c r="O12" s="11" t="s">
        <v>938</v>
      </c>
      <c r="Q12" s="1" t="s">
        <v>1202</v>
      </c>
      <c r="T12" s="1">
        <v>43223</v>
      </c>
      <c r="U12" t="s">
        <v>1050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-43098</v>
      </c>
      <c r="AD12" s="2">
        <f t="shared" si="5"/>
        <v>0</v>
      </c>
      <c r="AE12">
        <f t="shared" si="6"/>
        <v>0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212</v>
      </c>
      <c r="AJ12">
        <f t="shared" si="11"/>
        <v>11885</v>
      </c>
    </row>
    <row r="13" spans="1:41" x14ac:dyDescent="0.25">
      <c r="B13" s="72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H13" s="70"/>
      <c r="O13" s="11" t="s">
        <v>965</v>
      </c>
      <c r="Q13">
        <f>Q4/(1.65+1.75)*2</f>
        <v>13.982352941176471</v>
      </c>
      <c r="U13" t="s">
        <v>1051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-43098</v>
      </c>
      <c r="AD13" s="2">
        <f t="shared" si="5"/>
        <v>0</v>
      </c>
      <c r="AE13">
        <f t="shared" si="6"/>
        <v>0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212</v>
      </c>
      <c r="AJ13">
        <f t="shared" si="11"/>
        <v>11885</v>
      </c>
    </row>
    <row r="14" spans="1:41" x14ac:dyDescent="0.25">
      <c r="B14" s="72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4"/>
      <c r="H14" s="70"/>
      <c r="O14" s="11" t="s">
        <v>1102</v>
      </c>
      <c r="Q14" s="821">
        <v>-1.08</v>
      </c>
      <c r="U14" t="s">
        <v>1052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212</v>
      </c>
      <c r="AJ14">
        <f t="shared" si="11"/>
        <v>11885</v>
      </c>
    </row>
    <row r="15" spans="1:41" x14ac:dyDescent="0.25">
      <c r="B15" s="72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O15" s="11" t="s">
        <v>1053</v>
      </c>
      <c r="Q15" s="29">
        <v>43226</v>
      </c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212</v>
      </c>
      <c r="AJ15">
        <f t="shared" si="11"/>
        <v>11885</v>
      </c>
    </row>
    <row r="16" spans="1:41" x14ac:dyDescent="0.25">
      <c r="B16" s="474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1064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212</v>
      </c>
      <c r="AJ16">
        <f t="shared" si="11"/>
        <v>11885</v>
      </c>
    </row>
    <row r="17" spans="1:39" x14ac:dyDescent="0.25">
      <c r="B17" s="474">
        <v>43307</v>
      </c>
      <c r="C17" s="4">
        <v>100</v>
      </c>
      <c r="D17" s="3">
        <v>23.28</v>
      </c>
      <c r="E17" s="3">
        <v>0</v>
      </c>
      <c r="F17" s="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212</v>
      </c>
      <c r="AJ17">
        <f t="shared" si="11"/>
        <v>11885</v>
      </c>
      <c r="AM17" s="2"/>
    </row>
    <row r="18" spans="1:39" ht="20.25" thickBot="1" x14ac:dyDescent="0.35">
      <c r="C18" s="4"/>
      <c r="D18" s="3"/>
      <c r="E18" s="3"/>
      <c r="F18" s="3"/>
      <c r="H18" s="70"/>
      <c r="O18" s="857" t="s">
        <v>78</v>
      </c>
      <c r="P18" s="857"/>
      <c r="T18" s="1">
        <v>43236</v>
      </c>
      <c r="U18" t="s">
        <v>1078</v>
      </c>
      <c r="W18" s="134"/>
    </row>
    <row r="19" spans="1:39" ht="15.75" thickTop="1" x14ac:dyDescent="0.25">
      <c r="O19" s="81">
        <v>1.1000000000000001</v>
      </c>
      <c r="P19" s="81">
        <f>O19*$Q$4</f>
        <v>26.147000000000002</v>
      </c>
      <c r="W19" s="134"/>
    </row>
    <row r="20" spans="1:39" x14ac:dyDescent="0.25">
      <c r="C20" s="4"/>
      <c r="D20" s="3"/>
      <c r="E20" s="3"/>
      <c r="F20" s="3"/>
      <c r="H20" s="70"/>
      <c r="O20" s="81">
        <v>1.0900000000000001</v>
      </c>
      <c r="P20" s="81">
        <f t="shared" ref="P20:P39" si="13">O20*$Q$4</f>
        <v>25.909300000000002</v>
      </c>
      <c r="T20" s="1">
        <v>43244</v>
      </c>
      <c r="U20" t="s">
        <v>1092</v>
      </c>
      <c r="W20" s="134"/>
    </row>
    <row r="21" spans="1:39" x14ac:dyDescent="0.25">
      <c r="O21" s="81">
        <v>1.08</v>
      </c>
      <c r="P21" s="81">
        <f t="shared" si="13"/>
        <v>25.671600000000002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25.433900000000001</v>
      </c>
      <c r="T22" s="156">
        <v>43288</v>
      </c>
      <c r="U22" t="s">
        <v>1179</v>
      </c>
      <c r="W22" s="134"/>
    </row>
    <row r="23" spans="1:39" x14ac:dyDescent="0.25">
      <c r="O23" s="81">
        <v>1.06</v>
      </c>
      <c r="P23" s="81">
        <f t="shared" si="13"/>
        <v>25.196200000000001</v>
      </c>
      <c r="W23" s="134"/>
    </row>
    <row r="24" spans="1:39" x14ac:dyDescent="0.25">
      <c r="A24" s="31" t="s">
        <v>81</v>
      </c>
      <c r="B24" s="14"/>
      <c r="C24" s="14">
        <f>SUM(C2:C22)</f>
        <v>1397</v>
      </c>
      <c r="D24" s="18"/>
      <c r="E24" s="18"/>
      <c r="F24" s="18">
        <f>SUM(F2:F22)</f>
        <v>36575.699999999997</v>
      </c>
      <c r="G24" s="14"/>
      <c r="H24" s="71">
        <f>SUM(H2:H9)</f>
        <v>897</v>
      </c>
      <c r="I24" s="18"/>
      <c r="J24" s="18"/>
      <c r="K24" s="18">
        <f>SUM(K2:K9)</f>
        <v>21810.99</v>
      </c>
      <c r="L24" s="14"/>
      <c r="M24" s="18">
        <f>SUM(M2:M10)</f>
        <v>260</v>
      </c>
      <c r="O24" s="81">
        <v>1.05</v>
      </c>
      <c r="P24" s="81">
        <f t="shared" si="13"/>
        <v>24.958500000000001</v>
      </c>
      <c r="W24" s="134"/>
    </row>
    <row r="25" spans="1:39" ht="15.75" thickBot="1" x14ac:dyDescent="0.3">
      <c r="A25" s="341" t="s">
        <v>193</v>
      </c>
      <c r="B25" s="342"/>
      <c r="C25" s="343">
        <f>SumByColor($A$25,C2:C23)</f>
        <v>897</v>
      </c>
      <c r="D25" s="343"/>
      <c r="E25" s="343"/>
      <c r="F25" s="344">
        <f>SumByColor($A$25,F2:F23)</f>
        <v>20605</v>
      </c>
      <c r="G25" s="343"/>
      <c r="H25" s="343">
        <f>SumByColor($A$25,H2:H23)</f>
        <v>897</v>
      </c>
      <c r="I25" s="343"/>
      <c r="J25" s="343"/>
      <c r="K25" s="344">
        <f>SumByColor($A$25,K2:K23)</f>
        <v>21811</v>
      </c>
      <c r="L25" s="343"/>
      <c r="M25" s="344">
        <f>SumByColor($A$25,M2:M23)</f>
        <v>260</v>
      </c>
      <c r="O25" s="81">
        <v>1.04</v>
      </c>
      <c r="P25" s="81">
        <f t="shared" si="13"/>
        <v>24.720800000000001</v>
      </c>
      <c r="T25" s="156">
        <v>43318</v>
      </c>
      <c r="U25" t="s">
        <v>1185</v>
      </c>
      <c r="W25" s="134"/>
    </row>
    <row r="26" spans="1:39" x14ac:dyDescent="0.25">
      <c r="O26" s="81">
        <v>1.03</v>
      </c>
      <c r="P26" s="81">
        <f t="shared" si="13"/>
        <v>24.4831</v>
      </c>
      <c r="W26" s="134"/>
    </row>
    <row r="27" spans="1:39" x14ac:dyDescent="0.25">
      <c r="O27" s="81">
        <v>1.02</v>
      </c>
      <c r="P27" s="81">
        <f t="shared" si="13"/>
        <v>24.2454</v>
      </c>
      <c r="W27" s="134"/>
    </row>
    <row r="28" spans="1:39" x14ac:dyDescent="0.25">
      <c r="O28" s="81">
        <v>1.01</v>
      </c>
      <c r="P28" s="81">
        <f t="shared" si="13"/>
        <v>24.0077</v>
      </c>
      <c r="W28" s="134"/>
    </row>
    <row r="29" spans="1:39" x14ac:dyDescent="0.25">
      <c r="O29" s="81">
        <v>1</v>
      </c>
      <c r="P29" s="81">
        <f t="shared" si="13"/>
        <v>23.77</v>
      </c>
      <c r="W29" s="134"/>
    </row>
    <row r="30" spans="1:39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494</v>
      </c>
      <c r="K30" s="220"/>
      <c r="L30" s="220" t="s">
        <v>965</v>
      </c>
      <c r="O30" s="81">
        <v>0.99</v>
      </c>
      <c r="P30" s="81">
        <f t="shared" si="13"/>
        <v>23.532299999999999</v>
      </c>
      <c r="W30" s="134"/>
    </row>
    <row r="31" spans="1:39" x14ac:dyDescent="0.25">
      <c r="B31" s="18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222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23.294599999999999</v>
      </c>
      <c r="W31" s="134"/>
    </row>
    <row r="32" spans="1:39" x14ac:dyDescent="0.25">
      <c r="B32" s="18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222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23.056899999999999</v>
      </c>
      <c r="W32" s="134"/>
    </row>
    <row r="33" spans="1:23" x14ac:dyDescent="0.25">
      <c r="B33" s="18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222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22.819199999999999</v>
      </c>
      <c r="W33" s="134"/>
    </row>
    <row r="34" spans="1:23" x14ac:dyDescent="0.25">
      <c r="B34" s="18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222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22.581499999999998</v>
      </c>
      <c r="W34" s="134"/>
    </row>
    <row r="35" spans="1:23" x14ac:dyDescent="0.25">
      <c r="B35" s="184">
        <v>43130</v>
      </c>
      <c r="C35" s="10">
        <v>200</v>
      </c>
      <c r="D35" s="39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222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22.343799999999998</v>
      </c>
      <c r="W35" s="134"/>
    </row>
    <row r="36" spans="1:23" x14ac:dyDescent="0.25">
      <c r="A36">
        <v>100</v>
      </c>
      <c r="B36" s="18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222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22.106100000000001</v>
      </c>
      <c r="W36" s="134"/>
    </row>
    <row r="37" spans="1:23" x14ac:dyDescent="0.25">
      <c r="B37" s="18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222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21.868400000000001</v>
      </c>
      <c r="W37" s="134"/>
    </row>
    <row r="38" spans="1:23" x14ac:dyDescent="0.25">
      <c r="B38" s="18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222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21.630700000000001</v>
      </c>
      <c r="W38" s="134"/>
    </row>
    <row r="39" spans="1:23" x14ac:dyDescent="0.25">
      <c r="A39" s="29"/>
      <c r="B39" s="18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222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21.393000000000001</v>
      </c>
      <c r="T39" s="134"/>
    </row>
    <row r="40" spans="1:23" x14ac:dyDescent="0.25">
      <c r="B40" s="184">
        <v>43160</v>
      </c>
      <c r="C40" s="421">
        <v>600</v>
      </c>
      <c r="D40" s="83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222">
        <f t="shared" si="16"/>
        <v>-0.20879842416283648</v>
      </c>
      <c r="I40" s="39"/>
      <c r="J40" s="39"/>
      <c r="K40" s="787" t="s">
        <v>935</v>
      </c>
      <c r="L40" s="155"/>
      <c r="T40" s="134"/>
    </row>
    <row r="41" spans="1:23" x14ac:dyDescent="0.25">
      <c r="B41" s="184">
        <v>43161</v>
      </c>
      <c r="C41" s="425">
        <v>400</v>
      </c>
      <c r="D41" s="426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222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8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5" si="18">D42*C42</f>
        <v>13285.12</v>
      </c>
      <c r="H42" s="222">
        <f t="shared" ref="H42:H65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8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222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8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222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84">
        <v>43182</v>
      </c>
      <c r="C45" s="421">
        <v>600</v>
      </c>
      <c r="D45" s="83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222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8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222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8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222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8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222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84">
        <v>43217</v>
      </c>
      <c r="C49" s="425">
        <v>400</v>
      </c>
      <c r="D49" s="426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222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84">
        <v>43218</v>
      </c>
      <c r="C50" s="425">
        <v>400</v>
      </c>
      <c r="D50" s="426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222">
        <f t="shared" si="19"/>
        <v>-0.26596434860514684</v>
      </c>
      <c r="I50" s="39"/>
      <c r="J50" s="39"/>
      <c r="K50" s="39" t="s">
        <v>185</v>
      </c>
      <c r="L50" s="39"/>
      <c r="Q50" s="2"/>
      <c r="T50" s="134"/>
    </row>
    <row r="51" spans="1:23" x14ac:dyDescent="0.25">
      <c r="A51">
        <v>400</v>
      </c>
      <c r="B51" s="18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222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8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222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84">
        <v>43241</v>
      </c>
      <c r="C53" s="421">
        <v>600</v>
      </c>
      <c r="D53" s="83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222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8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222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84">
        <v>43263</v>
      </c>
      <c r="C55" s="10">
        <v>600</v>
      </c>
      <c r="D55" s="39">
        <v>29.14</v>
      </c>
      <c r="E55" s="39">
        <v>22.46</v>
      </c>
      <c r="F55" s="39">
        <f t="shared" ref="F55:F65" si="20">C55*(E55-D55)</f>
        <v>-4008</v>
      </c>
      <c r="G55" s="39">
        <f t="shared" si="18"/>
        <v>17484</v>
      </c>
      <c r="H55" s="222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84">
        <v>43272</v>
      </c>
      <c r="C56" s="425">
        <v>400</v>
      </c>
      <c r="D56" s="426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222">
        <f t="shared" si="19"/>
        <v>-0.25511568254942979</v>
      </c>
      <c r="I56" s="193" t="s">
        <v>1129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8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222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84">
        <v>43277</v>
      </c>
      <c r="C58" s="425">
        <v>400</v>
      </c>
      <c r="D58" s="426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222">
        <f t="shared" si="19"/>
        <v>-0.22994617729070743</v>
      </c>
      <c r="I58" s="193" t="s">
        <v>766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8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222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8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222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8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222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8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222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84">
        <v>43306</v>
      </c>
      <c r="C63" s="425">
        <v>400</v>
      </c>
      <c r="D63" s="426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222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8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222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8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222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W66" s="134"/>
    </row>
    <row r="67" spans="1:2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W67" s="134"/>
    </row>
    <row r="68" spans="1:2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W68" s="134"/>
    </row>
    <row r="69" spans="1:23" x14ac:dyDescent="0.25">
      <c r="A69" s="4"/>
      <c r="B69" s="72"/>
      <c r="C69" s="4"/>
      <c r="D69" s="3"/>
      <c r="E69" s="3"/>
      <c r="F69" s="3"/>
      <c r="G69" s="3"/>
      <c r="H69" s="269"/>
      <c r="I69" s="3"/>
      <c r="J69" s="3"/>
      <c r="K69" s="3"/>
      <c r="L69" s="4"/>
      <c r="W69" s="134"/>
    </row>
    <row r="70" spans="1:2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2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2" spans="1:23" x14ac:dyDescent="0.25">
      <c r="A72" s="4"/>
      <c r="B72" s="4"/>
      <c r="C72" s="4"/>
      <c r="D72" s="3"/>
      <c r="E72" s="3"/>
      <c r="F72" s="3"/>
      <c r="G72" s="4"/>
      <c r="H72" s="4"/>
      <c r="I72" s="3"/>
      <c r="J72" s="3"/>
      <c r="K72" s="3"/>
      <c r="L72" s="4" t="s">
        <v>65</v>
      </c>
      <c r="M72" s="2">
        <f>M90+K90-F90</f>
        <v>0</v>
      </c>
    </row>
    <row r="73" spans="1:23" x14ac:dyDescent="0.25">
      <c r="A73" s="510" t="s">
        <v>1</v>
      </c>
      <c r="B73" s="510" t="s">
        <v>2</v>
      </c>
      <c r="C73" s="510" t="s">
        <v>4</v>
      </c>
      <c r="D73" s="511" t="s">
        <v>5</v>
      </c>
      <c r="E73" s="511" t="s">
        <v>94</v>
      </c>
      <c r="F73" s="511" t="s">
        <v>60</v>
      </c>
      <c r="G73" s="510" t="s">
        <v>3</v>
      </c>
      <c r="H73" s="510" t="s">
        <v>6</v>
      </c>
      <c r="I73" s="511" t="s">
        <v>7</v>
      </c>
      <c r="J73" s="511" t="s">
        <v>95</v>
      </c>
      <c r="K73" s="511" t="s">
        <v>61</v>
      </c>
      <c r="L73" s="510" t="s">
        <v>37</v>
      </c>
      <c r="M73" s="510" t="s">
        <v>38</v>
      </c>
    </row>
    <row r="74" spans="1:23" x14ac:dyDescent="0.25">
      <c r="A74" s="512" t="s">
        <v>816</v>
      </c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6"/>
      <c r="M74" s="499"/>
    </row>
    <row r="75" spans="1:23" x14ac:dyDescent="0.25">
      <c r="A75" s="514" t="s">
        <v>71</v>
      </c>
      <c r="B75" s="496"/>
      <c r="C75" s="497"/>
      <c r="D75" s="499"/>
      <c r="E75" s="499"/>
      <c r="F75" s="499"/>
      <c r="G75" s="496"/>
      <c r="H75" s="513"/>
      <c r="I75" s="499"/>
      <c r="J75" s="499"/>
      <c r="K75" s="499"/>
      <c r="L75" s="497"/>
      <c r="M75" s="497"/>
    </row>
    <row r="76" spans="1:23" x14ac:dyDescent="0.25">
      <c r="A76" s="497"/>
      <c r="B76" s="496"/>
      <c r="C76" s="497"/>
      <c r="D76" s="499"/>
      <c r="E76" s="499"/>
      <c r="F76" s="499"/>
      <c r="G76" s="496"/>
      <c r="H76" s="513"/>
      <c r="I76" s="499"/>
      <c r="J76" s="499"/>
      <c r="K76" s="499"/>
      <c r="L76" s="497"/>
      <c r="M76" s="497"/>
    </row>
    <row r="77" spans="1:23" x14ac:dyDescent="0.25">
      <c r="A77" s="497"/>
      <c r="B77" s="496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6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513"/>
      <c r="I87" s="499"/>
      <c r="J87" s="499"/>
      <c r="K87" s="499"/>
      <c r="L87" s="497"/>
      <c r="M87" s="497"/>
    </row>
    <row r="88" spans="1:13" x14ac:dyDescent="0.25">
      <c r="A88" s="497"/>
      <c r="B88" s="497"/>
      <c r="C88" s="497"/>
      <c r="D88" s="499"/>
      <c r="E88" s="499"/>
      <c r="F88" s="499"/>
      <c r="G88" s="497"/>
      <c r="H88" s="513"/>
      <c r="I88" s="499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497"/>
      <c r="I89" s="499"/>
      <c r="J89" s="499"/>
      <c r="K89" s="499"/>
      <c r="L89" s="497"/>
      <c r="M89" s="497"/>
    </row>
    <row r="90" spans="1:13" x14ac:dyDescent="0.25">
      <c r="A90" s="515" t="s">
        <v>81</v>
      </c>
      <c r="B90" s="516"/>
      <c r="C90" s="516">
        <f>SUM(C74:C78)</f>
        <v>0</v>
      </c>
      <c r="D90" s="517"/>
      <c r="E90" s="517"/>
      <c r="F90" s="517">
        <f>SUM(F74:F78)</f>
        <v>0</v>
      </c>
      <c r="G90" s="516"/>
      <c r="H90" s="538">
        <f>SUM(H74:H77)</f>
        <v>0</v>
      </c>
      <c r="I90" s="517"/>
      <c r="J90" s="517"/>
      <c r="K90" s="517">
        <f>SUM(K74:K77)</f>
        <v>0</v>
      </c>
      <c r="L90" s="516"/>
      <c r="M90" s="517">
        <f>SUM(M74:M82)</f>
        <v>0</v>
      </c>
    </row>
    <row r="91" spans="1:13" ht="15.75" thickBot="1" x14ac:dyDescent="0.3">
      <c r="A91" s="518" t="s">
        <v>193</v>
      </c>
      <c r="B91" s="519"/>
      <c r="C91" s="520">
        <f>SumByColor($A$25,C74:C89)</f>
        <v>0</v>
      </c>
      <c r="D91" s="520"/>
      <c r="E91" s="520"/>
      <c r="F91" s="521">
        <f>SumByColor($A$25,F74:F89)</f>
        <v>0</v>
      </c>
      <c r="G91" s="520"/>
      <c r="H91" s="520">
        <f>SumByColor($A$25,H74:H89)</f>
        <v>0</v>
      </c>
      <c r="I91" s="520"/>
      <c r="J91" s="520"/>
      <c r="K91" s="521">
        <f>SumByColor($A$25,K75:K89)</f>
        <v>0</v>
      </c>
      <c r="L91" s="520"/>
      <c r="M91" s="521">
        <f>SumByColor($A$25,M74:M89)</f>
        <v>0</v>
      </c>
    </row>
    <row r="94" spans="1:13" x14ac:dyDescent="0.25">
      <c r="B94" s="182" t="s">
        <v>113</v>
      </c>
      <c r="C94" s="182" t="s">
        <v>146</v>
      </c>
      <c r="D94" s="183" t="s">
        <v>145</v>
      </c>
      <c r="E94" s="185" t="s">
        <v>147</v>
      </c>
      <c r="F94" s="185" t="s">
        <v>65</v>
      </c>
      <c r="G94" s="220" t="s">
        <v>151</v>
      </c>
      <c r="H94" s="220" t="s">
        <v>88</v>
      </c>
      <c r="I94" s="220" t="s">
        <v>154</v>
      </c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2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2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</sheetData>
  <mergeCells count="1">
    <mergeCell ref="O18:P18"/>
  </mergeCells>
  <conditionalFormatting sqref="O19:O3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31:F69 H31:H69">
    <cfRule type="expression" dxfId="892" priority="21">
      <formula>F31&gt;0</formula>
    </cfRule>
    <cfRule type="expression" dxfId="891" priority="22">
      <formula>F31&lt;0</formula>
    </cfRule>
  </conditionalFormatting>
  <conditionalFormatting sqref="Q7">
    <cfRule type="expression" dxfId="890" priority="19">
      <formula>Q7&gt;0</formula>
    </cfRule>
    <cfRule type="expression" dxfId="889" priority="20">
      <formula>Q7&lt;0</formula>
    </cfRule>
  </conditionalFormatting>
  <conditionalFormatting sqref="Q8">
    <cfRule type="expression" dxfId="888" priority="17">
      <formula>Q8&gt;0</formula>
    </cfRule>
    <cfRule type="expression" dxfId="887" priority="18">
      <formula>Q8&lt;0</formula>
    </cfRule>
  </conditionalFormatting>
  <conditionalFormatting sqref="F95:F116">
    <cfRule type="expression" dxfId="886" priority="11">
      <formula>F95&gt;0</formula>
    </cfRule>
    <cfRule type="expression" dxfId="885" priority="12">
      <formula>F95&lt;0</formula>
    </cfRule>
  </conditionalFormatting>
  <conditionalFormatting sqref="H95:H116">
    <cfRule type="expression" dxfId="884" priority="9">
      <formula>H95&gt;0</formula>
    </cfRule>
    <cfRule type="expression" dxfId="883" priority="10">
      <formula>H95&lt;0</formula>
    </cfRule>
  </conditionalFormatting>
  <conditionalFormatting sqref="Q10">
    <cfRule type="expression" dxfId="882" priority="7">
      <formula>Q10&gt;0</formula>
    </cfRule>
    <cfRule type="expression" dxfId="881" priority="8">
      <formula>Q10&lt;0</formula>
    </cfRule>
  </conditionalFormatting>
  <conditionalFormatting sqref="J31:J44">
    <cfRule type="expression" dxfId="880" priority="5">
      <formula>J31&gt;0</formula>
    </cfRule>
    <cfRule type="expression" dxfId="879" priority="6">
      <formula>J31&lt;0</formula>
    </cfRule>
  </conditionalFormatting>
  <conditionalFormatting sqref="K31:K44">
    <cfRule type="expression" dxfId="878" priority="3">
      <formula>K31&gt;0</formula>
    </cfRule>
    <cfRule type="expression" dxfId="877" priority="4">
      <formula>K31&lt;0</formula>
    </cfRule>
  </conditionalFormatting>
  <conditionalFormatting sqref="L31:L44">
    <cfRule type="expression" dxfId="876" priority="1">
      <formula>L31&gt;0</formula>
    </cfRule>
    <cfRule type="expression" dxfId="875" priority="2">
      <formula>L31&lt;0</formula>
    </cfRule>
  </conditionalFormatting>
  <hyperlinks>
    <hyperlink ref="A3" location="ACTIVE!A1" display="Back"/>
    <hyperlink ref="A75" location="ACTIVE!A1" display="Back"/>
  </hyperlinks>
  <pageMargins left="0.7" right="0.7" top="0.75" bottom="0.75" header="0.3" footer="0.3"/>
  <pageSetup orientation="portrait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238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55.74</v>
      </c>
      <c r="T3" s="1">
        <v>42621</v>
      </c>
      <c r="U3" s="33" t="s">
        <v>254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55.74</v>
      </c>
      <c r="R4" s="475">
        <v>2.63E-2</v>
      </c>
      <c r="T4" s="1">
        <v>42627</v>
      </c>
      <c r="U4" s="33" t="s">
        <v>254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321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460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514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207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206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62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62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61.314000000000007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60.756600000000006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60.199200000000005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59.641800000000003</v>
      </c>
      <c r="Q28" s="2"/>
    </row>
    <row r="29" spans="1:32" x14ac:dyDescent="0.25">
      <c r="A29" s="10" t="s">
        <v>702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494</v>
      </c>
      <c r="K29" s="220" t="s">
        <v>462</v>
      </c>
      <c r="L29" s="220" t="s">
        <v>662</v>
      </c>
      <c r="M29" s="4"/>
      <c r="N29" s="4"/>
      <c r="O29" s="81">
        <v>1.06</v>
      </c>
      <c r="P29" s="81">
        <f t="shared" si="0"/>
        <v>59.084400000000002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58.527000000000001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57.969600000000007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57.412200000000006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56.854800000000004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56.297400000000003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55.74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55.182600000000001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54.6252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54.067799999999998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53.510399999999997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52.953000000000003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52.395600000000002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51.838200000000008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51.280800000000006</v>
      </c>
    </row>
    <row r="44" spans="1:32" x14ac:dyDescent="0.25">
      <c r="N44" s="4"/>
      <c r="O44" s="81">
        <v>0.91</v>
      </c>
      <c r="P44" s="81">
        <f t="shared" si="0"/>
        <v>50.723400000000005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50.166000000000004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286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226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259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287</v>
      </c>
      <c r="J168" s="578" t="s">
        <v>285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297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297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297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297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494</v>
      </c>
      <c r="K200" s="220" t="s">
        <v>462</v>
      </c>
      <c r="L200" s="220" t="s">
        <v>662</v>
      </c>
      <c r="M200" s="4"/>
    </row>
    <row r="201" spans="1:17" x14ac:dyDescent="0.25">
      <c r="A201" s="362" t="s">
        <v>340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347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348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349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370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385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410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415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428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428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446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320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3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4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3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4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3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4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3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4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3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4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3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4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3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4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3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4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3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4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3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4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3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4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3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4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3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4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3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4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3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4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3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4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3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4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3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4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3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4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3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4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3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4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3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4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3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4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3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4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3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4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3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4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3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4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3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4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3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4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3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4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3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4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3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4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3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4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3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4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3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4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3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4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3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4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3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4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3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4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3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4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3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4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3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4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3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4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3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4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3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4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3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4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3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4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3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4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3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4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3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4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3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4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3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3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3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3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5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3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5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3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5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3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5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3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5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5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5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5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5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5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5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5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5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5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5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5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5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5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5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5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5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5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5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5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5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5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5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5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5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5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5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5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5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5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5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199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5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5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5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5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5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5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5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5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5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5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5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5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5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5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5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5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5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5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5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6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5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6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5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6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5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6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5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6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5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6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5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6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5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5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5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5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7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8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7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8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7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8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7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8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7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8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7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8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7"/>
        <v>7224.84</v>
      </c>
      <c r="L385" s="250"/>
      <c r="M385" s="671" t="s">
        <v>252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8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7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8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7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8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7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8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7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8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7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8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7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8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7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8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7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8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7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8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7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8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7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8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7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8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7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8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7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8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7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8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7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8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7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8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7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8"/>
        <v>0</v>
      </c>
      <c r="G404" s="668" t="s">
        <v>308</v>
      </c>
      <c r="H404" s="250">
        <v>100</v>
      </c>
      <c r="I404" s="251">
        <v>19.68</v>
      </c>
      <c r="J404" s="251">
        <v>0.04</v>
      </c>
      <c r="K404" s="251">
        <f t="shared" si="27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8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7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8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7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8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7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7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7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7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7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29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29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29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29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74" priority="137">
      <formula>F30&gt;0</formula>
    </cfRule>
    <cfRule type="expression" dxfId="873" priority="138">
      <formula>F30&lt;0</formula>
    </cfRule>
  </conditionalFormatting>
  <conditionalFormatting sqref="H47:H58">
    <cfRule type="expression" dxfId="872" priority="129">
      <formula>H47&gt;0</formula>
    </cfRule>
    <cfRule type="expression" dxfId="871" priority="130">
      <formula>H47&lt;0</formula>
    </cfRule>
  </conditionalFormatting>
  <conditionalFormatting sqref="H59">
    <cfRule type="expression" dxfId="870" priority="119">
      <formula>H59&gt;0</formula>
    </cfRule>
    <cfRule type="expression" dxfId="869" priority="120">
      <formula>H59&lt;0</formula>
    </cfRule>
  </conditionalFormatting>
  <conditionalFormatting sqref="H60">
    <cfRule type="expression" dxfId="868" priority="115">
      <formula>H60&gt;0</formula>
    </cfRule>
    <cfRule type="expression" dxfId="867" priority="116">
      <formula>H60&lt;0</formula>
    </cfRule>
  </conditionalFormatting>
  <conditionalFormatting sqref="H61:H66">
    <cfRule type="expression" dxfId="866" priority="111">
      <formula>H61&gt;0</formula>
    </cfRule>
    <cfRule type="expression" dxfId="865" priority="112">
      <formula>H61&lt;0</formula>
    </cfRule>
  </conditionalFormatting>
  <conditionalFormatting sqref="Q8">
    <cfRule type="expression" dxfId="864" priority="95">
      <formula>Q8&gt;0</formula>
    </cfRule>
    <cfRule type="expression" dxfId="863" priority="96">
      <formula>Q8&lt;0</formula>
    </cfRule>
  </conditionalFormatting>
  <conditionalFormatting sqref="Q7">
    <cfRule type="expression" dxfId="862" priority="97">
      <formula>Q7&gt;0</formula>
    </cfRule>
    <cfRule type="expression" dxfId="861" priority="98">
      <formula>Q7&lt;0</formula>
    </cfRule>
  </conditionalFormatting>
  <conditionalFormatting sqref="F178 H178">
    <cfRule type="expression" dxfId="860" priority="93">
      <formula>F178&gt;0</formula>
    </cfRule>
    <cfRule type="expression" dxfId="859" priority="94">
      <formula>F178&lt;0</formula>
    </cfRule>
  </conditionalFormatting>
  <conditionalFormatting sqref="Q10">
    <cfRule type="expression" dxfId="858" priority="87">
      <formula>Q10&gt;0</formula>
    </cfRule>
    <cfRule type="expression" dxfId="857" priority="88">
      <formula>Q10&lt;0</formula>
    </cfRule>
  </conditionalFormatting>
  <conditionalFormatting sqref="Q9">
    <cfRule type="expression" dxfId="856" priority="81">
      <formula>Q9&gt;0</formula>
    </cfRule>
    <cfRule type="expression" dxfId="855" priority="82">
      <formula>Q9&lt;0</formula>
    </cfRule>
  </conditionalFormatting>
  <conditionalFormatting sqref="F201:F248">
    <cfRule type="expression" dxfId="854" priority="41">
      <formula>F201&gt;0</formula>
    </cfRule>
    <cfRule type="expression" dxfId="853" priority="42">
      <formula>F201&lt;0</formula>
    </cfRule>
  </conditionalFormatting>
  <conditionalFormatting sqref="H201:H248">
    <cfRule type="expression" dxfId="852" priority="39">
      <formula>H201&gt;0</formula>
    </cfRule>
    <cfRule type="expression" dxfId="851" priority="40">
      <formula>H201&lt;0</formula>
    </cfRule>
  </conditionalFormatting>
  <conditionalFormatting sqref="J208">
    <cfRule type="expression" dxfId="850" priority="37">
      <formula>J208&gt;0</formula>
    </cfRule>
    <cfRule type="expression" dxfId="849" priority="38">
      <formula>J208&lt;0</formula>
    </cfRule>
  </conditionalFormatting>
  <conditionalFormatting sqref="J214:J215">
    <cfRule type="expression" dxfId="848" priority="35">
      <formula>J214&gt;0</formula>
    </cfRule>
    <cfRule type="expression" dxfId="847" priority="36">
      <formula>J214&lt;0</formula>
    </cfRule>
  </conditionalFormatting>
  <conditionalFormatting sqref="J216">
    <cfRule type="expression" dxfId="846" priority="33">
      <formula>J216&gt;0</formula>
    </cfRule>
    <cfRule type="expression" dxfId="845" priority="34">
      <formula>J216&lt;0</formula>
    </cfRule>
  </conditionalFormatting>
  <conditionalFormatting sqref="J217:J219 J221:J224">
    <cfRule type="expression" dxfId="844" priority="31">
      <formula>J217&gt;0</formula>
    </cfRule>
    <cfRule type="expression" dxfId="843" priority="32">
      <formula>J217&lt;0</formula>
    </cfRule>
  </conditionalFormatting>
  <conditionalFormatting sqref="K208">
    <cfRule type="expression" dxfId="842" priority="29">
      <formula>K208&gt;0</formula>
    </cfRule>
    <cfRule type="expression" dxfId="841" priority="30">
      <formula>K208&lt;0</formula>
    </cfRule>
  </conditionalFormatting>
  <conditionalFormatting sqref="K214:K215">
    <cfRule type="expression" dxfId="840" priority="27">
      <formula>K214&gt;0</formula>
    </cfRule>
    <cfRule type="expression" dxfId="839" priority="28">
      <formula>K214&lt;0</formula>
    </cfRule>
  </conditionalFormatting>
  <conditionalFormatting sqref="K216">
    <cfRule type="expression" dxfId="838" priority="25">
      <formula>K216&gt;0</formula>
    </cfRule>
    <cfRule type="expression" dxfId="837" priority="26">
      <formula>K216&lt;0</formula>
    </cfRule>
  </conditionalFormatting>
  <conditionalFormatting sqref="K217:K224">
    <cfRule type="expression" dxfId="836" priority="23">
      <formula>K217&gt;0</formula>
    </cfRule>
    <cfRule type="expression" dxfId="835" priority="24">
      <formula>K217&lt;0</formula>
    </cfRule>
  </conditionalFormatting>
  <conditionalFormatting sqref="L208">
    <cfRule type="expression" dxfId="834" priority="21">
      <formula>L208&gt;0</formula>
    </cfRule>
    <cfRule type="expression" dxfId="833" priority="22">
      <formula>L208&lt;0</formula>
    </cfRule>
  </conditionalFormatting>
  <conditionalFormatting sqref="L214:L215">
    <cfRule type="expression" dxfId="832" priority="19">
      <formula>L214&gt;0</formula>
    </cfRule>
    <cfRule type="expression" dxfId="831" priority="20">
      <formula>L214&lt;0</formula>
    </cfRule>
  </conditionalFormatting>
  <conditionalFormatting sqref="L216">
    <cfRule type="expression" dxfId="830" priority="17">
      <formula>L216&gt;0</formula>
    </cfRule>
    <cfRule type="expression" dxfId="829" priority="18">
      <formula>L216&lt;0</formula>
    </cfRule>
  </conditionalFormatting>
  <conditionalFormatting sqref="L217:L224">
    <cfRule type="expression" dxfId="828" priority="15">
      <formula>L217&gt;0</formula>
    </cfRule>
    <cfRule type="expression" dxfId="827" priority="16">
      <formula>L217&lt;0</formula>
    </cfRule>
  </conditionalFormatting>
  <conditionalFormatting sqref="K225">
    <cfRule type="expression" dxfId="826" priority="13">
      <formula>K225&gt;0</formula>
    </cfRule>
    <cfRule type="expression" dxfId="825" priority="14">
      <formula>K225&lt;0</formula>
    </cfRule>
  </conditionalFormatting>
  <conditionalFormatting sqref="L225:L232">
    <cfRule type="expression" dxfId="824" priority="11">
      <formula>L225&gt;0</formula>
    </cfRule>
    <cfRule type="expression" dxfId="823" priority="12">
      <formula>L225&lt;0</formula>
    </cfRule>
  </conditionalFormatting>
  <conditionalFormatting sqref="K226">
    <cfRule type="expression" dxfId="822" priority="9">
      <formula>K226&gt;0</formula>
    </cfRule>
    <cfRule type="expression" dxfId="821" priority="10">
      <formula>K226&lt;0</formula>
    </cfRule>
  </conditionalFormatting>
  <conditionalFormatting sqref="K227">
    <cfRule type="expression" dxfId="820" priority="7">
      <formula>K227&gt;0</formula>
    </cfRule>
    <cfRule type="expression" dxfId="819" priority="8">
      <formula>K227&lt;0</formula>
    </cfRule>
  </conditionalFormatting>
  <conditionalFormatting sqref="K228:K248">
    <cfRule type="expression" dxfId="818" priority="5">
      <formula>K228&gt;0</formula>
    </cfRule>
    <cfRule type="expression" dxfId="817" priority="6">
      <formula>K228&lt;0</formula>
    </cfRule>
  </conditionalFormatting>
  <conditionalFormatting sqref="L233:L237">
    <cfRule type="expression" dxfId="816" priority="3">
      <formula>L233&gt;0</formula>
    </cfRule>
    <cfRule type="expression" dxfId="815" priority="4">
      <formula>L233&lt;0</formula>
    </cfRule>
  </conditionalFormatting>
  <conditionalFormatting sqref="L238:L243">
    <cfRule type="expression" dxfId="814" priority="1">
      <formula>L238&gt;0</formula>
    </cfRule>
    <cfRule type="expression" dxfId="813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53.47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53.47</v>
      </c>
      <c r="R4" s="490">
        <v>7.9000000000000008E-3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207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206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206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302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57" t="s">
        <v>78</v>
      </c>
      <c r="P40" s="857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58.817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58.282300000000006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57.747600000000006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57.212900000000005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56.678200000000004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56.143500000000003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55.608800000000002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55.074100000000001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54.539400000000001</v>
      </c>
      <c r="Q49" s="2"/>
      <c r="T49" s="85" t="s">
        <v>103</v>
      </c>
      <c r="U49" s="87" t="s">
        <v>388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54.0047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53.47</v>
      </c>
      <c r="Q51" s="2"/>
      <c r="T51" s="85" t="s">
        <v>104</v>
      </c>
      <c r="U51" s="86" t="s">
        <v>597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52.935299999999998</v>
      </c>
      <c r="Q52" s="2"/>
      <c r="T52" s="85" t="s">
        <v>105</v>
      </c>
      <c r="U52" s="86" t="s">
        <v>496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52.400599999999997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51.865899999999996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51.331199999999995</v>
      </c>
      <c r="T55" s="85" t="s">
        <v>107</v>
      </c>
      <c r="U55" s="86" t="s">
        <v>598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50.796499999999995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50.261799999999994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49.7271</v>
      </c>
      <c r="T58" s="85" t="s">
        <v>108</v>
      </c>
      <c r="U58" s="86" t="s">
        <v>537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49.192399999999999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48.657699999999998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48.122999999999998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12" priority="11">
      <formula>F27&gt;0</formula>
    </cfRule>
    <cfRule type="expression" dxfId="811" priority="12">
      <formula>F27&lt;0</formula>
    </cfRule>
  </conditionalFormatting>
  <conditionalFormatting sqref="H27:H29">
    <cfRule type="expression" dxfId="810" priority="9">
      <formula>H27&gt;0</formula>
    </cfRule>
    <cfRule type="expression" dxfId="809" priority="10">
      <formula>H27&lt;0</formula>
    </cfRule>
  </conditionalFormatting>
  <conditionalFormatting sqref="F23:F26">
    <cfRule type="expression" dxfId="808" priority="7">
      <formula>F23&gt;0</formula>
    </cfRule>
    <cfRule type="expression" dxfId="807" priority="8">
      <formula>F23&lt;0</formula>
    </cfRule>
  </conditionalFormatting>
  <conditionalFormatting sqref="H23:H26">
    <cfRule type="expression" dxfId="806" priority="5">
      <formula>H23&gt;0</formula>
    </cfRule>
    <cfRule type="expression" dxfId="805" priority="6">
      <formula>H23&lt;0</formula>
    </cfRule>
  </conditionalFormatting>
  <conditionalFormatting sqref="Q8">
    <cfRule type="expression" dxfId="804" priority="1">
      <formula>Q8&gt;0</formula>
    </cfRule>
    <cfRule type="expression" dxfId="803" priority="2">
      <formula>Q8&lt;0</formula>
    </cfRule>
  </conditionalFormatting>
  <conditionalFormatting sqref="Q7">
    <cfRule type="expression" dxfId="802" priority="3">
      <formula>Q7&gt;0</formula>
    </cfRule>
    <cfRule type="expression" dxfId="801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52.16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52.16</v>
      </c>
      <c r="R4" s="490">
        <v>5.7999999999999996E-3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207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206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206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57" t="s">
        <v>78</v>
      </c>
      <c r="P40" s="857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57.375999999999998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56.854399999999998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56.332799999999999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55.811199999999999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55.2896</v>
      </c>
      <c r="Q45" s="2"/>
      <c r="T45" s="85" t="s">
        <v>99</v>
      </c>
      <c r="U45" s="86" t="s">
        <v>599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54.768000000000001</v>
      </c>
      <c r="Q46" s="2"/>
      <c r="T46" s="85" t="s">
        <v>100</v>
      </c>
      <c r="U46" s="86" t="s">
        <v>600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54.246400000000001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53.724799999999995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53.203199999999995</v>
      </c>
      <c r="Q49" s="2"/>
      <c r="T49" s="85" t="s">
        <v>103</v>
      </c>
      <c r="U49" s="87" t="s">
        <v>420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52.681599999999996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52.16</v>
      </c>
      <c r="Q51" s="2"/>
      <c r="T51" s="85" t="s">
        <v>104</v>
      </c>
      <c r="U51" s="86" t="s">
        <v>601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51.638399999999997</v>
      </c>
      <c r="Q52" s="2"/>
      <c r="T52" s="85" t="s">
        <v>105</v>
      </c>
      <c r="U52" s="86" t="s">
        <v>504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51.116799999999998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50.595199999999998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50.073599999999992</v>
      </c>
      <c r="T55" s="85" t="s">
        <v>107</v>
      </c>
      <c r="U55" s="86" t="s">
        <v>602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49.551999999999992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49.030399999999993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48.508800000000001</v>
      </c>
      <c r="T58" s="85" t="s">
        <v>108</v>
      </c>
      <c r="U58" s="86" t="s">
        <v>538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47.987200000000001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47.465600000000002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46.943999999999996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00" priority="7">
      <formula>F21&gt;0</formula>
    </cfRule>
    <cfRule type="expression" dxfId="799" priority="8">
      <formula>F21&lt;0</formula>
    </cfRule>
  </conditionalFormatting>
  <conditionalFormatting sqref="F22">
    <cfRule type="expression" dxfId="798" priority="5">
      <formula>F22&gt;0</formula>
    </cfRule>
    <cfRule type="expression" dxfId="797" priority="6">
      <formula>F22&lt;0</formula>
    </cfRule>
  </conditionalFormatting>
  <conditionalFormatting sqref="Q8">
    <cfRule type="expression" dxfId="796" priority="1">
      <formula>Q8&gt;0</formula>
    </cfRule>
    <cfRule type="expression" dxfId="795" priority="2">
      <formula>Q8&lt;0</formula>
    </cfRule>
  </conditionalFormatting>
  <conditionalFormatting sqref="Q7">
    <cfRule type="expression" dxfId="794" priority="3">
      <formula>Q7&gt;0</formula>
    </cfRule>
    <cfRule type="expression" dxfId="793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69.599999999999994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69.599999999999994</v>
      </c>
      <c r="R4" s="475">
        <v>5.5999999999999999E-3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207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206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57" t="s">
        <v>78</v>
      </c>
      <c r="P44" s="857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76.56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75.864000000000004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75.167999999999992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74.471999999999994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73.775999999999996</v>
      </c>
      <c r="Q49" s="2"/>
      <c r="R49" s="33"/>
      <c r="T49" s="106" t="s">
        <v>121</v>
      </c>
      <c r="U49" s="104" t="s">
        <v>368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73.08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72.384</v>
      </c>
      <c r="Q51" s="2"/>
      <c r="R51" s="33"/>
      <c r="T51" s="106" t="s">
        <v>104</v>
      </c>
      <c r="U51" s="104" t="s">
        <v>603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71.688000000000002</v>
      </c>
      <c r="Q52" s="2"/>
      <c r="R52" s="33"/>
      <c r="T52" s="106" t="s">
        <v>105</v>
      </c>
      <c r="U52" s="104" t="s">
        <v>520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70.99199999999999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70.295999999999992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69.599999999999994</v>
      </c>
      <c r="Q55" s="2"/>
      <c r="R55" s="33"/>
      <c r="T55" s="106" t="s">
        <v>107</v>
      </c>
      <c r="U55" s="104" t="s">
        <v>604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68.903999999999996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68.207999999999998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67.511999999999986</v>
      </c>
      <c r="Q58" s="2"/>
      <c r="R58" s="33"/>
      <c r="T58" s="106" t="s">
        <v>108</v>
      </c>
      <c r="U58" s="104" t="s">
        <v>539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66.815999999999988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66.11999999999999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65.423999999999992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64.727999999999994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64.031999999999996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63.335999999999999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62.639999999999993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206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92" priority="17">
      <formula>F38&gt;0</formula>
    </cfRule>
    <cfRule type="expression" dxfId="791" priority="18">
      <formula>F38&lt;0</formula>
    </cfRule>
  </conditionalFormatting>
  <conditionalFormatting sqref="H38:H72">
    <cfRule type="expression" dxfId="790" priority="9">
      <formula>H38&gt;0</formula>
    </cfRule>
    <cfRule type="expression" dxfId="789" priority="10">
      <formula>H38&lt;0</formula>
    </cfRule>
  </conditionalFormatting>
  <conditionalFormatting sqref="F21:F37">
    <cfRule type="expression" dxfId="788" priority="7">
      <formula>F21&gt;0</formula>
    </cfRule>
    <cfRule type="expression" dxfId="787" priority="8">
      <formula>F21&lt;0</formula>
    </cfRule>
  </conditionalFormatting>
  <conditionalFormatting sqref="H21:H37">
    <cfRule type="expression" dxfId="786" priority="5">
      <formula>H21&gt;0</formula>
    </cfRule>
    <cfRule type="expression" dxfId="785" priority="6">
      <formula>H21&lt;0</formula>
    </cfRule>
  </conditionalFormatting>
  <conditionalFormatting sqref="Q8">
    <cfRule type="expression" dxfId="784" priority="1">
      <formula>Q8&gt;0</formula>
    </cfRule>
    <cfRule type="expression" dxfId="783" priority="2">
      <formula>Q8&lt;0</formula>
    </cfRule>
  </conditionalFormatting>
  <conditionalFormatting sqref="Q7">
    <cfRule type="expression" dxfId="782" priority="3">
      <formula>Q7&gt;0</formula>
    </cfRule>
    <cfRule type="expression" dxfId="781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144.11000000000001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144.11000000000001</v>
      </c>
      <c r="R4" s="490">
        <v>-6.4999999999999997E-3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207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206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206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57" t="s">
        <v>78</v>
      </c>
      <c r="P46" s="857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158.52100000000002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157.07990000000004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155.63880000000003</v>
      </c>
      <c r="Q49" s="33"/>
      <c r="R49"/>
      <c r="T49" s="85" t="s">
        <v>103</v>
      </c>
      <c r="U49" s="92" t="s">
        <v>605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154.19770000000003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152.75660000000002</v>
      </c>
      <c r="Q51" s="81"/>
      <c r="R51"/>
      <c r="T51" s="85" t="s">
        <v>104</v>
      </c>
      <c r="U51" s="127" t="s">
        <v>606</v>
      </c>
    </row>
    <row r="52" spans="1:21" x14ac:dyDescent="0.25">
      <c r="O52" s="81">
        <v>1.05</v>
      </c>
      <c r="P52" s="81">
        <f t="shared" si="1"/>
        <v>151.31550000000001</v>
      </c>
      <c r="Q52" s="81"/>
      <c r="R52"/>
      <c r="T52" s="85" t="s">
        <v>105</v>
      </c>
      <c r="U52" s="127" t="s">
        <v>498</v>
      </c>
    </row>
    <row r="53" spans="1:21" x14ac:dyDescent="0.25">
      <c r="O53" s="81">
        <v>1.04</v>
      </c>
      <c r="P53" s="81">
        <f t="shared" si="1"/>
        <v>149.87440000000001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148.43330000000003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146.99220000000003</v>
      </c>
      <c r="Q55" s="81"/>
      <c r="R55"/>
      <c r="T55" s="85" t="s">
        <v>107</v>
      </c>
      <c r="U55" s="127" t="s">
        <v>607</v>
      </c>
    </row>
    <row r="56" spans="1:21" x14ac:dyDescent="0.25">
      <c r="O56" s="81">
        <v>1.01</v>
      </c>
      <c r="P56" s="81">
        <f t="shared" si="1"/>
        <v>145.55110000000002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144.11000000000001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142.66890000000001</v>
      </c>
      <c r="Q58" s="81"/>
      <c r="R58"/>
      <c r="T58" s="85" t="s">
        <v>108</v>
      </c>
      <c r="U58" s="127" t="s">
        <v>540</v>
      </c>
    </row>
    <row r="59" spans="1:21" x14ac:dyDescent="0.25">
      <c r="O59" s="81">
        <v>0.98</v>
      </c>
      <c r="P59" s="81">
        <f t="shared" si="1"/>
        <v>141.2278</v>
      </c>
      <c r="Q59" s="81"/>
      <c r="R59"/>
    </row>
    <row r="60" spans="1:21" x14ac:dyDescent="0.25">
      <c r="O60" s="81">
        <v>0.97</v>
      </c>
      <c r="P60" s="81">
        <f t="shared" si="1"/>
        <v>139.7867</v>
      </c>
      <c r="Q60" s="81"/>
      <c r="R60"/>
    </row>
    <row r="61" spans="1:21" x14ac:dyDescent="0.25">
      <c r="O61" s="81">
        <v>0.96</v>
      </c>
      <c r="P61" s="81">
        <f t="shared" si="1"/>
        <v>138.34560000000002</v>
      </c>
      <c r="Q61" s="81"/>
      <c r="R61"/>
    </row>
    <row r="62" spans="1:21" x14ac:dyDescent="0.25">
      <c r="O62" s="81">
        <v>0.95</v>
      </c>
      <c r="P62" s="81">
        <f t="shared" si="1"/>
        <v>136.90450000000001</v>
      </c>
      <c r="Q62" s="81"/>
      <c r="R62"/>
    </row>
    <row r="63" spans="1:21" x14ac:dyDescent="0.25">
      <c r="O63" s="81">
        <v>0.94</v>
      </c>
      <c r="P63" s="81">
        <f t="shared" si="1"/>
        <v>135.46340000000001</v>
      </c>
      <c r="Q63" s="81"/>
      <c r="R63"/>
      <c r="T63" s="84"/>
    </row>
    <row r="64" spans="1:21" x14ac:dyDescent="0.25">
      <c r="O64" s="81">
        <v>0.93</v>
      </c>
      <c r="P64" s="81">
        <f t="shared" si="1"/>
        <v>134.02230000000003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132.58120000000002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131.14010000000002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129.69900000000001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80" priority="11">
      <formula>F24&gt;0</formula>
    </cfRule>
    <cfRule type="expression" dxfId="779" priority="12">
      <formula>F24&lt;0</formula>
    </cfRule>
  </conditionalFormatting>
  <conditionalFormatting sqref="H27:H30">
    <cfRule type="expression" dxfId="778" priority="9">
      <formula>H27&gt;0</formula>
    </cfRule>
    <cfRule type="expression" dxfId="777" priority="10">
      <formula>H27&lt;0</formula>
    </cfRule>
  </conditionalFormatting>
  <conditionalFormatting sqref="F25">
    <cfRule type="expression" dxfId="776" priority="7">
      <formula>F25&gt;0</formula>
    </cfRule>
    <cfRule type="expression" dxfId="775" priority="8">
      <formula>F25&lt;0</formula>
    </cfRule>
  </conditionalFormatting>
  <conditionalFormatting sqref="H24:H26">
    <cfRule type="expression" dxfId="774" priority="5">
      <formula>H24&gt;0</formula>
    </cfRule>
    <cfRule type="expression" dxfId="773" priority="6">
      <formula>H24&lt;0</formula>
    </cfRule>
  </conditionalFormatting>
  <conditionalFormatting sqref="Q7">
    <cfRule type="expression" dxfId="772" priority="3">
      <formula>Q7&gt;0</formula>
    </cfRule>
    <cfRule type="expression" dxfId="771" priority="4">
      <formula>Q7&lt;0</formula>
    </cfRule>
  </conditionalFormatting>
  <conditionalFormatting sqref="Q8">
    <cfRule type="expression" dxfId="770" priority="1">
      <formula>Q8&gt;0</formula>
    </cfRule>
    <cfRule type="expression" dxfId="769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47.6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47.6</v>
      </c>
      <c r="R4" s="491">
        <v>-3.5999999999999999E-3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207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206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206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265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57" t="s">
        <v>78</v>
      </c>
      <c r="Q39" s="857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52.360000000000007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51.884000000000007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51.408000000000008</v>
      </c>
      <c r="R42" s="33"/>
      <c r="T42" s="85" t="s">
        <v>99</v>
      </c>
      <c r="U42" s="127" t="s">
        <v>608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50.932000000000002</v>
      </c>
      <c r="R43" s="81"/>
      <c r="T43" s="85" t="s">
        <v>100</v>
      </c>
      <c r="U43" s="127" t="s">
        <v>609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50.456000000000003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49.980000000000004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49.504000000000005</v>
      </c>
      <c r="R46" s="81"/>
      <c r="T46" s="85" t="s">
        <v>121</v>
      </c>
      <c r="U46" s="223" t="s">
        <v>417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49.028000000000006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48.552</v>
      </c>
      <c r="R48" s="81"/>
      <c r="T48" s="85" t="s">
        <v>104</v>
      </c>
      <c r="U48" s="127" t="s">
        <v>610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48.076000000000001</v>
      </c>
      <c r="R49" s="81"/>
      <c r="T49" s="85" t="s">
        <v>105</v>
      </c>
      <c r="U49" s="127" t="s">
        <v>541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47.6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47.124000000000002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46.648000000000003</v>
      </c>
      <c r="R52" s="81"/>
      <c r="T52" s="85" t="s">
        <v>107</v>
      </c>
      <c r="U52" s="127" t="s">
        <v>611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46.171999999999997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45.695999999999998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45.22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44.744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44.268000000000001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43.792000000000002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43.316000000000003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42.84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68" priority="17">
      <formula>F28&gt;0</formula>
    </cfRule>
    <cfRule type="expression" dxfId="767" priority="18">
      <formula>F28&lt;0</formula>
    </cfRule>
  </conditionalFormatting>
  <conditionalFormatting sqref="F28 F33:F35">
    <cfRule type="expression" dxfId="766" priority="19">
      <formula>F28&gt;0</formula>
    </cfRule>
    <cfRule type="expression" dxfId="765" priority="20">
      <formula>F28&lt;0</formula>
    </cfRule>
  </conditionalFormatting>
  <conditionalFormatting sqref="H28 H33:H35">
    <cfRule type="expression" dxfId="764" priority="15">
      <formula>H28&gt;0</formula>
    </cfRule>
    <cfRule type="expression" dxfId="763" priority="16">
      <formula>H28&lt;0</formula>
    </cfRule>
  </conditionalFormatting>
  <conditionalFormatting sqref="F21:F27">
    <cfRule type="expression" dxfId="762" priority="13">
      <formula>F21&gt;0</formula>
    </cfRule>
    <cfRule type="expression" dxfId="761" priority="14">
      <formula>F21&lt;0</formula>
    </cfRule>
  </conditionalFormatting>
  <conditionalFormatting sqref="H21:H27">
    <cfRule type="expression" dxfId="760" priority="11">
      <formula>H21&gt;0</formula>
    </cfRule>
    <cfRule type="expression" dxfId="759" priority="12">
      <formula>H21&lt;0</formula>
    </cfRule>
  </conditionalFormatting>
  <conditionalFormatting sqref="Q8">
    <cfRule type="expression" dxfId="758" priority="7">
      <formula>Q8&gt;0</formula>
    </cfRule>
    <cfRule type="expression" dxfId="757" priority="8">
      <formula>Q8&lt;0</formula>
    </cfRule>
  </conditionalFormatting>
  <conditionalFormatting sqref="Q7">
    <cfRule type="expression" dxfId="756" priority="9">
      <formula>Q7&gt;0</formula>
    </cfRule>
    <cfRule type="expression" dxfId="755" priority="10">
      <formula>Q7&lt;0</formula>
    </cfRule>
  </conditionalFormatting>
  <conditionalFormatting sqref="F29:F32">
    <cfRule type="expression" dxfId="754" priority="5">
      <formula>F29&gt;0</formula>
    </cfRule>
    <cfRule type="expression" dxfId="753" priority="6">
      <formula>F29&lt;0</formula>
    </cfRule>
  </conditionalFormatting>
  <conditionalFormatting sqref="H29:H32">
    <cfRule type="expression" dxfId="752" priority="3">
      <formula>H29&gt;0</formula>
    </cfRule>
    <cfRule type="expression" dxfId="751" priority="4">
      <formula>H29&lt;0</formula>
    </cfRule>
  </conditionalFormatting>
  <conditionalFormatting sqref="M37">
    <cfRule type="expression" dxfId="750" priority="1">
      <formula>M37&gt;0</formula>
    </cfRule>
    <cfRule type="expression" dxfId="749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3" max="3" width="9.28515625" bestFit="1" customWidth="1"/>
    <col min="4" max="5" width="9.140625" style="2"/>
    <col min="6" max="6" width="10.5703125" style="2" bestFit="1" customWidth="1"/>
    <col min="8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O3" s="11" t="s">
        <v>58</v>
      </c>
      <c r="Q3" s="78">
        <f>IF(Q2=0, Q4, (F18-K18-M18)/Q2)</f>
        <v>278.89999999999998</v>
      </c>
      <c r="T3" s="118"/>
      <c r="AD3" s="225"/>
    </row>
    <row r="4" spans="1:30" x14ac:dyDescent="0.25">
      <c r="B4" s="434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278.89999999999998</v>
      </c>
      <c r="R4" s="475">
        <v>3.5999999999999999E-3</v>
      </c>
      <c r="T4" s="118"/>
      <c r="AA4" s="225"/>
      <c r="AD4" s="225"/>
    </row>
    <row r="5" spans="1:30" x14ac:dyDescent="0.25">
      <c r="B5" s="434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178</v>
      </c>
      <c r="P7"/>
      <c r="Q7" s="780">
        <f>Q10+Q8</f>
        <v>1034.5399999999991</v>
      </c>
      <c r="R7">
        <v>0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180</v>
      </c>
      <c r="Q8" s="20">
        <f>K18+M18-F18+Q2*Q4</f>
        <v>873.70999999999913</v>
      </c>
    </row>
    <row r="9" spans="1:30" x14ac:dyDescent="0.25">
      <c r="B9" s="434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34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207</v>
      </c>
      <c r="P9"/>
      <c r="Q9" s="134">
        <f>IF(Q2=0, 0, Q8/Q6)</f>
        <v>0</v>
      </c>
      <c r="AA9" s="225"/>
      <c r="AD9" s="225"/>
    </row>
    <row r="10" spans="1:30" ht="12.75" customHeight="1" x14ac:dyDescent="0.25">
      <c r="B10" s="434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34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206</v>
      </c>
      <c r="Q10" s="20">
        <f>M47</f>
        <v>160.82999999999993</v>
      </c>
    </row>
    <row r="11" spans="1:30" x14ac:dyDescent="0.25">
      <c r="B11" s="434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965</v>
      </c>
      <c r="Q13" s="2">
        <f>Q4/13</f>
        <v>21.45384615384615</v>
      </c>
      <c r="R13" s="22" t="s">
        <v>970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57" t="s">
        <v>78</v>
      </c>
      <c r="Q17" s="857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54.84</v>
      </c>
      <c r="P18" s="81">
        <v>1.1000000000000001</v>
      </c>
      <c r="Q18" s="81">
        <f>P18*$Q$4</f>
        <v>306.79000000000002</v>
      </c>
      <c r="R18" s="81"/>
    </row>
    <row r="19" spans="1:30" ht="15.75" thickBot="1" x14ac:dyDescent="0.3">
      <c r="A19" s="341" t="s">
        <v>193</v>
      </c>
      <c r="B19" s="342"/>
      <c r="C19" s="344">
        <f>SumByColor($A$19,C2:C17)</f>
        <v>135</v>
      </c>
      <c r="D19" s="344"/>
      <c r="E19" s="344"/>
      <c r="F19" s="344">
        <f t="shared" ref="F19:M19" si="2">SumByColor($A$19,F2:F17)</f>
        <v>35382</v>
      </c>
      <c r="G19" s="344"/>
      <c r="H19" s="344">
        <f t="shared" si="2"/>
        <v>135</v>
      </c>
      <c r="I19" s="344"/>
      <c r="J19" s="344"/>
      <c r="K19" s="344">
        <f t="shared" si="2"/>
        <v>36202</v>
      </c>
      <c r="L19" s="344"/>
      <c r="M19" s="344">
        <f t="shared" si="2"/>
        <v>55</v>
      </c>
      <c r="P19" s="81">
        <v>1.0900000000000001</v>
      </c>
      <c r="Q19" s="81">
        <f t="shared" ref="Q19:Q38" si="3">P19*$Q$4</f>
        <v>304.00099999999998</v>
      </c>
      <c r="R19" s="81"/>
      <c r="AA19" s="225"/>
      <c r="AD19" s="225"/>
    </row>
    <row r="20" spans="1:30" x14ac:dyDescent="0.25">
      <c r="P20" s="81">
        <v>1.08</v>
      </c>
      <c r="Q20" s="81">
        <f t="shared" si="3"/>
        <v>301.21199999999999</v>
      </c>
      <c r="R20" s="81"/>
    </row>
    <row r="21" spans="1:3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J21" s="220" t="s">
        <v>150</v>
      </c>
      <c r="K21" s="220"/>
      <c r="P21" s="81">
        <v>1.07</v>
      </c>
      <c r="Q21" s="81">
        <f t="shared" si="3"/>
        <v>298.423</v>
      </c>
      <c r="R21" s="81"/>
      <c r="AA21" s="225"/>
      <c r="AD21" s="225"/>
    </row>
    <row r="22" spans="1:30" x14ac:dyDescent="0.25">
      <c r="B22" s="18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222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295.63400000000001</v>
      </c>
      <c r="R22" s="81"/>
    </row>
    <row r="23" spans="1:30" x14ac:dyDescent="0.25">
      <c r="B23" s="18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222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292.84499999999997</v>
      </c>
      <c r="R23" s="81"/>
      <c r="AA23" s="225"/>
    </row>
    <row r="24" spans="1:30" x14ac:dyDescent="0.25">
      <c r="B24" s="18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222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290.05599999999998</v>
      </c>
      <c r="R24" s="81"/>
    </row>
    <row r="25" spans="1:30" x14ac:dyDescent="0.25">
      <c r="B25" s="18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222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287.267</v>
      </c>
      <c r="R25" s="81"/>
    </row>
    <row r="26" spans="1:30" x14ac:dyDescent="0.25">
      <c r="B26" s="18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222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284.47800000000001</v>
      </c>
      <c r="R26" s="81"/>
    </row>
    <row r="27" spans="1:30" x14ac:dyDescent="0.25">
      <c r="B27" s="18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222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281.68899999999996</v>
      </c>
      <c r="R27" s="81"/>
    </row>
    <row r="28" spans="1:30" x14ac:dyDescent="0.25">
      <c r="B28" s="18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222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278.89999999999998</v>
      </c>
      <c r="R28" s="81"/>
    </row>
    <row r="29" spans="1:30" x14ac:dyDescent="0.25">
      <c r="B29" s="18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222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276.11099999999999</v>
      </c>
      <c r="R29" s="81"/>
    </row>
    <row r="30" spans="1:30" x14ac:dyDescent="0.25">
      <c r="A30">
        <v>35</v>
      </c>
      <c r="B30" s="18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222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273.32199999999995</v>
      </c>
      <c r="R30" s="81"/>
    </row>
    <row r="31" spans="1:30" x14ac:dyDescent="0.25">
      <c r="A31">
        <v>35</v>
      </c>
      <c r="B31" s="18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222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270.53299999999996</v>
      </c>
      <c r="R31" s="81"/>
    </row>
    <row r="32" spans="1:30" x14ac:dyDescent="0.25">
      <c r="A32">
        <v>20</v>
      </c>
      <c r="B32" s="18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222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267.74399999999997</v>
      </c>
      <c r="R32" s="81"/>
    </row>
    <row r="33" spans="1:18" x14ac:dyDescent="0.25">
      <c r="A33">
        <v>10</v>
      </c>
      <c r="B33" s="18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222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264.95499999999998</v>
      </c>
      <c r="R33" s="81"/>
    </row>
    <row r="34" spans="1:18" x14ac:dyDescent="0.25">
      <c r="A34">
        <v>0</v>
      </c>
      <c r="B34" s="18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222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262.16599999999994</v>
      </c>
      <c r="R34" s="81"/>
    </row>
    <row r="35" spans="1:18" x14ac:dyDescent="0.25">
      <c r="A35">
        <v>10</v>
      </c>
      <c r="B35" s="18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222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259.37700000000001</v>
      </c>
      <c r="R35" s="81"/>
    </row>
    <row r="36" spans="1:18" x14ac:dyDescent="0.25">
      <c r="A36">
        <v>10</v>
      </c>
      <c r="B36" s="18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222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256.58799999999997</v>
      </c>
    </row>
    <row r="37" spans="1:18" x14ac:dyDescent="0.25">
      <c r="A37">
        <v>25</v>
      </c>
      <c r="B37" s="18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222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253.79899999999998</v>
      </c>
    </row>
    <row r="38" spans="1:18" x14ac:dyDescent="0.25">
      <c r="A38">
        <v>30</v>
      </c>
      <c r="B38" s="18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222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251.01</v>
      </c>
    </row>
    <row r="39" spans="1:18" x14ac:dyDescent="0.25">
      <c r="B39" s="18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222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8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222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8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222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84">
        <v>43286</v>
      </c>
      <c r="C42" s="10">
        <v>0</v>
      </c>
      <c r="D42" s="39"/>
      <c r="E42" s="39"/>
      <c r="F42" s="39">
        <v>873.71</v>
      </c>
      <c r="G42" s="39"/>
      <c r="H42" s="222"/>
      <c r="I42" s="39"/>
      <c r="J42" s="39">
        <v>1034.54</v>
      </c>
      <c r="K42" s="39"/>
      <c r="O42" s="2"/>
    </row>
    <row r="43" spans="1:18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206</v>
      </c>
      <c r="M47" s="2">
        <f>M65+K65-F65</f>
        <v>160.82999999999993</v>
      </c>
      <c r="O47" s="2"/>
    </row>
    <row r="48" spans="1:18" x14ac:dyDescent="0.25">
      <c r="A48" s="252" t="s">
        <v>1</v>
      </c>
      <c r="B48" s="252" t="s">
        <v>2</v>
      </c>
      <c r="C48" s="252" t="s">
        <v>4</v>
      </c>
      <c r="D48" s="253" t="s">
        <v>5</v>
      </c>
      <c r="E48" s="253" t="s">
        <v>90</v>
      </c>
      <c r="F48" s="253" t="s">
        <v>60</v>
      </c>
      <c r="G48" s="252" t="s">
        <v>3</v>
      </c>
      <c r="H48" s="252" t="s">
        <v>6</v>
      </c>
      <c r="I48" s="253" t="s">
        <v>7</v>
      </c>
      <c r="J48" s="253" t="s">
        <v>89</v>
      </c>
      <c r="K48" s="253" t="s">
        <v>61</v>
      </c>
      <c r="L48" s="252" t="s">
        <v>77</v>
      </c>
      <c r="M48" s="252" t="s">
        <v>38</v>
      </c>
      <c r="O48" s="2"/>
    </row>
    <row r="49" spans="1:15" x14ac:dyDescent="0.25">
      <c r="A49" s="254" t="s">
        <v>175</v>
      </c>
      <c r="B49" s="255">
        <v>42377</v>
      </c>
      <c r="C49" s="250">
        <v>20</v>
      </c>
      <c r="D49" s="251">
        <v>192.9</v>
      </c>
      <c r="E49" s="251">
        <v>0</v>
      </c>
      <c r="F49" s="251">
        <f>C49*D49+E49</f>
        <v>3858</v>
      </c>
      <c r="G49" s="255">
        <v>42398</v>
      </c>
      <c r="H49" s="256">
        <v>20</v>
      </c>
      <c r="I49" s="251">
        <v>192.22</v>
      </c>
      <c r="J49" s="251">
        <v>7.0000000000000007E-2</v>
      </c>
      <c r="K49" s="251">
        <f>H49*I49-J49</f>
        <v>3844.33</v>
      </c>
      <c r="L49" s="255"/>
      <c r="M49" s="251"/>
      <c r="O49" s="2"/>
    </row>
    <row r="50" spans="1:15" x14ac:dyDescent="0.25">
      <c r="A50" s="257" t="s">
        <v>71</v>
      </c>
      <c r="B50" s="255">
        <v>42384</v>
      </c>
      <c r="C50" s="250">
        <v>5</v>
      </c>
      <c r="D50" s="251">
        <v>186.79</v>
      </c>
      <c r="E50" s="251">
        <v>0</v>
      </c>
      <c r="F50" s="251">
        <f>C50*D50+E50</f>
        <v>933.94999999999993</v>
      </c>
      <c r="G50" s="255">
        <v>42416</v>
      </c>
      <c r="H50" s="256">
        <v>10</v>
      </c>
      <c r="I50" s="251">
        <v>189.25</v>
      </c>
      <c r="J50" s="251">
        <v>0.04</v>
      </c>
      <c r="K50" s="251">
        <f>H50*I50-J50</f>
        <v>1892.46</v>
      </c>
      <c r="L50" s="250"/>
      <c r="M50" s="250"/>
      <c r="O50" s="2"/>
    </row>
    <row r="51" spans="1:15" x14ac:dyDescent="0.25">
      <c r="A51" s="250"/>
      <c r="B51" s="255">
        <v>42405</v>
      </c>
      <c r="C51" s="250">
        <v>15</v>
      </c>
      <c r="D51" s="251">
        <v>187.8</v>
      </c>
      <c r="E51" s="251">
        <v>0</v>
      </c>
      <c r="F51" s="251">
        <f>C51*D51+E51</f>
        <v>2817</v>
      </c>
      <c r="G51" s="255">
        <v>42424</v>
      </c>
      <c r="H51" s="256">
        <v>10</v>
      </c>
      <c r="I51" s="251">
        <v>194.3</v>
      </c>
      <c r="J51" s="251">
        <v>0.04</v>
      </c>
      <c r="K51" s="251">
        <f>H51*I51-J51</f>
        <v>1942.96</v>
      </c>
      <c r="L51" s="250"/>
      <c r="M51" s="250"/>
      <c r="O51" s="2"/>
    </row>
    <row r="52" spans="1:15" x14ac:dyDescent="0.25">
      <c r="A52" s="250"/>
      <c r="B52" s="255">
        <v>42408</v>
      </c>
      <c r="C52" s="250">
        <v>5</v>
      </c>
      <c r="D52" s="251">
        <v>183.55</v>
      </c>
      <c r="E52" s="251">
        <v>0</v>
      </c>
      <c r="F52" s="251">
        <f>C52*D52+E52</f>
        <v>917.75</v>
      </c>
      <c r="G52" s="255">
        <v>42440</v>
      </c>
      <c r="H52" s="256">
        <v>5</v>
      </c>
      <c r="I52" s="251">
        <v>201.56</v>
      </c>
      <c r="J52" s="251">
        <v>0.02</v>
      </c>
      <c r="K52" s="251">
        <f>H52*I52-J52</f>
        <v>1007.78</v>
      </c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250"/>
      <c r="B64" s="250"/>
      <c r="C64" s="250"/>
      <c r="D64" s="251"/>
      <c r="E64" s="251"/>
      <c r="F64" s="251"/>
      <c r="G64" s="250"/>
      <c r="H64" s="250"/>
      <c r="I64" s="251"/>
      <c r="J64" s="251"/>
      <c r="K64" s="251"/>
      <c r="L64" s="250"/>
      <c r="M64" s="250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773" t="s">
        <v>113</v>
      </c>
      <c r="C67" s="773" t="s">
        <v>146</v>
      </c>
      <c r="D67" s="774" t="s">
        <v>145</v>
      </c>
      <c r="E67" s="775" t="s">
        <v>147</v>
      </c>
      <c r="F67" s="775" t="s">
        <v>65</v>
      </c>
      <c r="G67" s="776" t="s">
        <v>151</v>
      </c>
      <c r="H67" s="776" t="s">
        <v>88</v>
      </c>
      <c r="I67" s="776" t="s">
        <v>154</v>
      </c>
    </row>
    <row r="68" spans="1:13" x14ac:dyDescent="0.25">
      <c r="B68" s="635">
        <v>42377</v>
      </c>
      <c r="C68" s="634">
        <v>20</v>
      </c>
      <c r="D68" s="636">
        <v>192.9</v>
      </c>
      <c r="E68" s="636">
        <v>191.92</v>
      </c>
      <c r="F68" s="636">
        <f>C68*(E68-D68)</f>
        <v>-19.600000000000364</v>
      </c>
      <c r="G68" s="636">
        <f>D68*C68</f>
        <v>3858</v>
      </c>
      <c r="H68" s="637">
        <f>(E68-D68)/D68</f>
        <v>-5.0803525142561852E-3</v>
      </c>
      <c r="I68" s="636"/>
    </row>
    <row r="69" spans="1:13" x14ac:dyDescent="0.25">
      <c r="B69" s="635">
        <v>42384</v>
      </c>
      <c r="C69" s="634">
        <v>25</v>
      </c>
      <c r="D69" s="636">
        <v>191.678</v>
      </c>
      <c r="E69" s="636">
        <v>187.81</v>
      </c>
      <c r="F69" s="636">
        <f t="shared" ref="F69:F75" si="10">C69*(E69-D69)</f>
        <v>-96.699999999999875</v>
      </c>
      <c r="G69" s="636">
        <f t="shared" ref="G69:G75" si="11">D69*C69</f>
        <v>4791.95</v>
      </c>
      <c r="H69" s="637">
        <f t="shared" ref="H69:H75" si="12">(E69-D69)/D69</f>
        <v>-2.0179676332182071E-2</v>
      </c>
      <c r="I69" s="636"/>
    </row>
    <row r="70" spans="1:13" x14ac:dyDescent="0.25">
      <c r="B70" s="635">
        <v>42398</v>
      </c>
      <c r="C70" s="634">
        <v>5</v>
      </c>
      <c r="D70" s="636">
        <v>189.52</v>
      </c>
      <c r="E70" s="636">
        <v>191.87</v>
      </c>
      <c r="F70" s="636">
        <f t="shared" si="10"/>
        <v>11.749999999999972</v>
      </c>
      <c r="G70" s="636">
        <f t="shared" si="11"/>
        <v>947.6</v>
      </c>
      <c r="H70" s="637">
        <f t="shared" si="12"/>
        <v>1.2399746728577429E-2</v>
      </c>
      <c r="I70" s="636"/>
    </row>
    <row r="71" spans="1:13" x14ac:dyDescent="0.25">
      <c r="B71" s="635">
        <v>42405</v>
      </c>
      <c r="C71" s="634">
        <v>20</v>
      </c>
      <c r="D71" s="636">
        <v>188.23099999999999</v>
      </c>
      <c r="E71" s="636">
        <v>187.8</v>
      </c>
      <c r="F71" s="636">
        <f t="shared" si="10"/>
        <v>-8.6199999999996635</v>
      </c>
      <c r="G71" s="636">
        <f t="shared" si="11"/>
        <v>3764.62</v>
      </c>
      <c r="H71" s="637">
        <f t="shared" si="12"/>
        <v>-2.2897397346876083E-3</v>
      </c>
      <c r="I71" s="636"/>
    </row>
    <row r="72" spans="1:13" x14ac:dyDescent="0.25">
      <c r="B72" s="635">
        <v>42408</v>
      </c>
      <c r="C72" s="634">
        <v>25</v>
      </c>
      <c r="D72" s="636">
        <v>187.29480000000001</v>
      </c>
      <c r="E72" s="636">
        <v>185.42</v>
      </c>
      <c r="F72" s="636">
        <f t="shared" si="10"/>
        <v>-46.870000000000545</v>
      </c>
      <c r="G72" s="636">
        <f t="shared" si="11"/>
        <v>4682.37</v>
      </c>
      <c r="H72" s="637">
        <f t="shared" si="12"/>
        <v>-1.0009888154930204E-2</v>
      </c>
      <c r="I72" s="636"/>
    </row>
    <row r="73" spans="1:13" x14ac:dyDescent="0.25">
      <c r="B73" s="635">
        <v>42416</v>
      </c>
      <c r="C73" s="634">
        <v>15</v>
      </c>
      <c r="D73" s="636">
        <v>185.994</v>
      </c>
      <c r="E73" s="636">
        <v>189.78</v>
      </c>
      <c r="F73" s="636">
        <f t="shared" si="10"/>
        <v>56.79000000000002</v>
      </c>
      <c r="G73" s="636">
        <f t="shared" si="11"/>
        <v>2789.91</v>
      </c>
      <c r="H73" s="637">
        <f t="shared" si="12"/>
        <v>2.0355495338559317E-2</v>
      </c>
      <c r="I73" s="636"/>
    </row>
    <row r="74" spans="1:13" x14ac:dyDescent="0.25">
      <c r="B74" s="635">
        <v>42424</v>
      </c>
      <c r="C74" s="634">
        <v>5</v>
      </c>
      <c r="D74" s="636">
        <v>169.39</v>
      </c>
      <c r="E74" s="636">
        <v>193.2</v>
      </c>
      <c r="F74" s="636">
        <f t="shared" si="10"/>
        <v>119.05000000000001</v>
      </c>
      <c r="G74" s="636">
        <f t="shared" si="11"/>
        <v>846.94999999999993</v>
      </c>
      <c r="H74" s="637">
        <f t="shared" si="12"/>
        <v>0.1405631973552158</v>
      </c>
      <c r="I74" s="636"/>
    </row>
    <row r="75" spans="1:13" x14ac:dyDescent="0.25">
      <c r="B75" s="635">
        <v>42431</v>
      </c>
      <c r="C75" s="634">
        <v>5</v>
      </c>
      <c r="D75" s="636">
        <v>169.39</v>
      </c>
      <c r="E75" s="636">
        <v>199</v>
      </c>
      <c r="F75" s="636">
        <f t="shared" si="10"/>
        <v>148.05000000000007</v>
      </c>
      <c r="G75" s="636">
        <f t="shared" si="11"/>
        <v>846.94999999999993</v>
      </c>
      <c r="H75" s="637">
        <f t="shared" si="12"/>
        <v>0.17480370742074511</v>
      </c>
      <c r="I75" s="636"/>
    </row>
    <row r="76" spans="1:13" x14ac:dyDescent="0.25">
      <c r="B76" s="635">
        <v>42440</v>
      </c>
      <c r="C76" s="634">
        <v>0</v>
      </c>
      <c r="D76" s="636"/>
      <c r="E76" s="636"/>
      <c r="F76" s="636">
        <v>160.83000000000001</v>
      </c>
      <c r="G76" s="636"/>
      <c r="H76" s="637"/>
      <c r="I76" s="636"/>
    </row>
    <row r="77" spans="1:13" x14ac:dyDescent="0.25">
      <c r="B77" s="635"/>
      <c r="C77" s="634"/>
      <c r="D77" s="636"/>
      <c r="E77" s="636"/>
      <c r="F77" s="636"/>
      <c r="G77" s="636"/>
      <c r="H77" s="637"/>
      <c r="I77" s="636"/>
    </row>
    <row r="78" spans="1:13" x14ac:dyDescent="0.25">
      <c r="B78" s="635"/>
      <c r="C78" s="634"/>
      <c r="D78" s="636"/>
      <c r="E78" s="636"/>
      <c r="F78" s="636"/>
      <c r="G78" s="636"/>
      <c r="H78" s="637"/>
      <c r="I78" s="636"/>
    </row>
    <row r="79" spans="1:13" x14ac:dyDescent="0.25">
      <c r="B79" s="635"/>
      <c r="C79" s="634"/>
      <c r="D79" s="636"/>
      <c r="E79" s="636"/>
      <c r="F79" s="636"/>
      <c r="G79" s="636"/>
      <c r="H79" s="637"/>
      <c r="I79" s="636"/>
    </row>
    <row r="80" spans="1:13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  <row r="82" spans="2:9" x14ac:dyDescent="0.25">
      <c r="B82" s="635"/>
      <c r="C82" s="634"/>
      <c r="D82" s="636"/>
      <c r="E82" s="636"/>
      <c r="F82" s="636"/>
      <c r="G82" s="636"/>
      <c r="H82" s="637"/>
      <c r="I82" s="636"/>
    </row>
  </sheetData>
  <mergeCells count="1">
    <mergeCell ref="P17:Q17"/>
  </mergeCells>
  <conditionalFormatting sqref="H44:H46 F44:F46 F26:F34 H26:H34 J28:J39">
    <cfRule type="expression" dxfId="748" priority="47">
      <formula>F26&gt;0</formula>
    </cfRule>
    <cfRule type="expression" dxfId="747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46" priority="35">
      <formula>F22&gt;0</formula>
    </cfRule>
    <cfRule type="expression" dxfId="745" priority="36">
      <formula>F22&lt;0</formula>
    </cfRule>
  </conditionalFormatting>
  <conditionalFormatting sqref="H22:H25">
    <cfRule type="expression" dxfId="744" priority="33">
      <formula>H22&gt;0</formula>
    </cfRule>
    <cfRule type="expression" dxfId="743" priority="34">
      <formula>H22&lt;0</formula>
    </cfRule>
  </conditionalFormatting>
  <conditionalFormatting sqref="Q8">
    <cfRule type="expression" dxfId="742" priority="29">
      <formula>Q8&gt;0</formula>
    </cfRule>
    <cfRule type="expression" dxfId="741" priority="30">
      <formula>Q8&lt;0</formula>
    </cfRule>
  </conditionalFormatting>
  <conditionalFormatting sqref="Q7">
    <cfRule type="expression" dxfId="740" priority="31">
      <formula>Q7&gt;0</formula>
    </cfRule>
    <cfRule type="expression" dxfId="739" priority="32">
      <formula>Q7&lt;0</formula>
    </cfRule>
  </conditionalFormatting>
  <conditionalFormatting sqref="F72:F74">
    <cfRule type="expression" dxfId="738" priority="27">
      <formula>F72&gt;0</formula>
    </cfRule>
    <cfRule type="expression" dxfId="737" priority="28">
      <formula>F72&lt;0</formula>
    </cfRule>
  </conditionalFormatting>
  <conditionalFormatting sqref="F75:F82">
    <cfRule type="expression" dxfId="736" priority="23">
      <formula>F75&gt;0</formula>
    </cfRule>
    <cfRule type="expression" dxfId="735" priority="24">
      <formula>F75&lt;0</formula>
    </cfRule>
  </conditionalFormatting>
  <conditionalFormatting sqref="F75:F82">
    <cfRule type="expression" dxfId="734" priority="25">
      <formula>F75&gt;0</formula>
    </cfRule>
    <cfRule type="expression" dxfId="733" priority="26">
      <formula>F75&lt;0</formula>
    </cfRule>
  </conditionalFormatting>
  <conditionalFormatting sqref="H72:H82">
    <cfRule type="expression" dxfId="732" priority="21">
      <formula>H72&gt;0</formula>
    </cfRule>
    <cfRule type="expression" dxfId="731" priority="22">
      <formula>H72&lt;0</formula>
    </cfRule>
  </conditionalFormatting>
  <conditionalFormatting sqref="F68:F71">
    <cfRule type="expression" dxfId="730" priority="19">
      <formula>F68&gt;0</formula>
    </cfRule>
    <cfRule type="expression" dxfId="729" priority="20">
      <formula>F68&lt;0</formula>
    </cfRule>
  </conditionalFormatting>
  <conditionalFormatting sqref="H68:H71">
    <cfRule type="expression" dxfId="728" priority="17">
      <formula>H68&gt;0</formula>
    </cfRule>
    <cfRule type="expression" dxfId="727" priority="18">
      <formula>H68&lt;0</formula>
    </cfRule>
  </conditionalFormatting>
  <conditionalFormatting sqref="Q10">
    <cfRule type="expression" dxfId="726" priority="15">
      <formula>Q10&gt;0</formula>
    </cfRule>
    <cfRule type="expression" dxfId="725" priority="16">
      <formula>Q10&lt;0</formula>
    </cfRule>
  </conditionalFormatting>
  <conditionalFormatting sqref="H43 F43">
    <cfRule type="expression" dxfId="724" priority="11">
      <formula>F43&gt;0</formula>
    </cfRule>
    <cfRule type="expression" dxfId="723" priority="12">
      <formula>F43&lt;0</formula>
    </cfRule>
  </conditionalFormatting>
  <conditionalFormatting sqref="H37:H39 F37:F39">
    <cfRule type="expression" dxfId="722" priority="9">
      <formula>F37&gt;0</formula>
    </cfRule>
    <cfRule type="expression" dxfId="721" priority="10">
      <formula>F37&lt;0</formula>
    </cfRule>
  </conditionalFormatting>
  <conditionalFormatting sqref="H35:H36 F35:F36">
    <cfRule type="expression" dxfId="720" priority="7">
      <formula>F35&gt;0</formula>
    </cfRule>
    <cfRule type="expression" dxfId="719" priority="8">
      <formula>F35&lt;0</formula>
    </cfRule>
  </conditionalFormatting>
  <conditionalFormatting sqref="H41:H42 F41:F42 J40:J41">
    <cfRule type="expression" dxfId="718" priority="5">
      <formula>F40&gt;0</formula>
    </cfRule>
    <cfRule type="expression" dxfId="717" priority="6">
      <formula>F40&lt;0</formula>
    </cfRule>
  </conditionalFormatting>
  <conditionalFormatting sqref="H40 F40">
    <cfRule type="expression" dxfId="716" priority="3">
      <formula>F40&gt;0</formula>
    </cfRule>
    <cfRule type="expression" dxfId="715" priority="4">
      <formula>F40&lt;0</formula>
    </cfRule>
  </conditionalFormatting>
  <conditionalFormatting sqref="J42:J45">
    <cfRule type="expression" dxfId="714" priority="1">
      <formula>J42&gt;0</formula>
    </cfRule>
    <cfRule type="expression" dxfId="713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101.64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101.64</v>
      </c>
      <c r="R4" s="475">
        <v>1.2E-2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207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206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243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111.80400000000002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248</v>
      </c>
      <c r="O38" s="2"/>
      <c r="P38" s="81">
        <v>1.0900000000000001</v>
      </c>
      <c r="Q38" s="81">
        <f t="shared" ref="Q38:Q57" si="5">P38*$Q$4</f>
        <v>110.78760000000001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109.77120000000001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108.7548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107.73840000000001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106.72200000000001</v>
      </c>
      <c r="R42" s="81"/>
      <c r="T42" s="85" t="s">
        <v>99</v>
      </c>
      <c r="U42" s="127" t="s">
        <v>612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105.7056</v>
      </c>
      <c r="R43" s="81"/>
      <c r="T43" s="85" t="s">
        <v>100</v>
      </c>
      <c r="U43" s="127" t="s">
        <v>613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104.6892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103.67280000000001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102.6564</v>
      </c>
      <c r="R46" s="81"/>
      <c r="T46" s="85" t="s">
        <v>121</v>
      </c>
      <c r="U46" s="92" t="s">
        <v>366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101.64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100.6236</v>
      </c>
      <c r="R48" s="81"/>
      <c r="T48" s="85" t="s">
        <v>104</v>
      </c>
      <c r="U48" s="127" t="s">
        <v>614</v>
      </c>
      <c r="W48" s="92">
        <v>42766</v>
      </c>
      <c r="X48" s="10" t="s">
        <v>309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99.607199999999992</v>
      </c>
      <c r="R49" s="81"/>
      <c r="T49" s="85" t="s">
        <v>105</v>
      </c>
      <c r="U49" s="127" t="s">
        <v>615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98.590800000000002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97.574399999999997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96.557999999999993</v>
      </c>
      <c r="R52" s="81"/>
      <c r="T52" s="85" t="s">
        <v>107</v>
      </c>
      <c r="U52" s="127" t="s">
        <v>616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95.541599999999988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94.525200000000012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93.508800000000008</v>
      </c>
      <c r="R55" s="81"/>
      <c r="T55" s="85" t="s">
        <v>108</v>
      </c>
      <c r="U55" s="127" t="s">
        <v>529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92.492400000000004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91.475999999999999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12" priority="29">
      <formula>F40&gt;0</formula>
    </cfRule>
    <cfRule type="expression" dxfId="711" priority="30">
      <formula>F40&lt;0</formula>
    </cfRule>
  </conditionalFormatting>
  <conditionalFormatting sqref="F40:F45">
    <cfRule type="expression" dxfId="710" priority="31">
      <formula>F40&gt;0</formula>
    </cfRule>
    <cfRule type="expression" dxfId="709" priority="32">
      <formula>F40&lt;0</formula>
    </cfRule>
  </conditionalFormatting>
  <conditionalFormatting sqref="H40:H45">
    <cfRule type="expression" dxfId="708" priority="27">
      <formula>H40&gt;0</formula>
    </cfRule>
    <cfRule type="expression" dxfId="707" priority="28">
      <formula>H40&lt;0</formula>
    </cfRule>
  </conditionalFormatting>
  <conditionalFormatting sqref="F23:F39">
    <cfRule type="expression" dxfId="706" priority="13">
      <formula>F23&gt;0</formula>
    </cfRule>
    <cfRule type="expression" dxfId="705" priority="14">
      <formula>F23&lt;0</formula>
    </cfRule>
  </conditionalFormatting>
  <conditionalFormatting sqref="H23:H39">
    <cfRule type="expression" dxfId="704" priority="11">
      <formula>H23&gt;0</formula>
    </cfRule>
    <cfRule type="expression" dxfId="703" priority="12">
      <formula>H23&lt;0</formula>
    </cfRule>
  </conditionalFormatting>
  <conditionalFormatting sqref="Q7">
    <cfRule type="expression" dxfId="702" priority="9">
      <formula>Q7&gt;0</formula>
    </cfRule>
    <cfRule type="expression" dxfId="701" priority="10">
      <formula>Q7&lt;0</formula>
    </cfRule>
  </conditionalFormatting>
  <conditionalFormatting sqref="Q8">
    <cfRule type="expression" dxfId="700" priority="7">
      <formula>Q8&gt;0</formula>
    </cfRule>
    <cfRule type="expression" dxfId="699" priority="8">
      <formula>Q8&lt;0</formula>
    </cfRule>
  </conditionalFormatting>
  <conditionalFormatting sqref="Q10">
    <cfRule type="expression" dxfId="698" priority="1">
      <formula>Q10&gt;0</formula>
    </cfRule>
    <cfRule type="expression" dxfId="697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0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0</v>
      </c>
      <c r="R4" s="475">
        <v>0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207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206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475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206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0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0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0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0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0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0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0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0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0</v>
      </c>
      <c r="Q51" s="2"/>
      <c r="T51" s="106" t="s">
        <v>104</v>
      </c>
      <c r="U51" s="104" t="s">
        <v>617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0</v>
      </c>
      <c r="Q52" s="2"/>
      <c r="T52" s="106" t="s">
        <v>105</v>
      </c>
      <c r="U52" s="104" t="s">
        <v>618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0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0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0</v>
      </c>
      <c r="T55" s="106" t="s">
        <v>107</v>
      </c>
      <c r="U55" s="104" t="s">
        <v>619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0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0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0</v>
      </c>
      <c r="T58" s="106" t="s">
        <v>108</v>
      </c>
      <c r="U58" s="104" t="s">
        <v>515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0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0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0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0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0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96" priority="39">
      <formula>Q12&gt;0</formula>
    </cfRule>
    <cfRule type="expression" dxfId="695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94" priority="33">
      <formula>F25&gt;0</formula>
    </cfRule>
    <cfRule type="expression" dxfId="693" priority="34">
      <formula>F25&lt;0</formula>
    </cfRule>
  </conditionalFormatting>
  <conditionalFormatting sqref="F30">
    <cfRule type="expression" dxfId="692" priority="31">
      <formula>F30&gt;0</formula>
    </cfRule>
    <cfRule type="expression" dxfId="691" priority="32">
      <formula>F30&lt;0</formula>
    </cfRule>
  </conditionalFormatting>
  <conditionalFormatting sqref="F31">
    <cfRule type="expression" dxfId="690" priority="29">
      <formula>F31&gt;0</formula>
    </cfRule>
    <cfRule type="expression" dxfId="689" priority="30">
      <formula>F31&lt;0</formula>
    </cfRule>
  </conditionalFormatting>
  <conditionalFormatting sqref="F32:F34">
    <cfRule type="expression" dxfId="688" priority="27">
      <formula>F32&gt;0</formula>
    </cfRule>
    <cfRule type="expression" dxfId="687" priority="28">
      <formula>F32&lt;0</formula>
    </cfRule>
  </conditionalFormatting>
  <conditionalFormatting sqref="H25:H29">
    <cfRule type="expression" dxfId="686" priority="25">
      <formula>H25&gt;0</formula>
    </cfRule>
    <cfRule type="expression" dxfId="685" priority="26">
      <formula>H25&lt;0</formula>
    </cfRule>
  </conditionalFormatting>
  <conditionalFormatting sqref="H30">
    <cfRule type="expression" dxfId="684" priority="23">
      <formula>H30&gt;0</formula>
    </cfRule>
    <cfRule type="expression" dxfId="683" priority="24">
      <formula>H30&lt;0</formula>
    </cfRule>
  </conditionalFormatting>
  <conditionalFormatting sqref="H31">
    <cfRule type="expression" dxfId="682" priority="21">
      <formula>H31&gt;0</formula>
    </cfRule>
    <cfRule type="expression" dxfId="681" priority="22">
      <formula>H31&lt;0</formula>
    </cfRule>
  </conditionalFormatting>
  <conditionalFormatting sqref="H32:H34">
    <cfRule type="expression" dxfId="680" priority="19">
      <formula>H32&gt;0</formula>
    </cfRule>
    <cfRule type="expression" dxfId="679" priority="20">
      <formula>H32&lt;0</formula>
    </cfRule>
  </conditionalFormatting>
  <conditionalFormatting sqref="F35">
    <cfRule type="expression" dxfId="678" priority="17">
      <formula>F35&gt;0</formula>
    </cfRule>
    <cfRule type="expression" dxfId="677" priority="18">
      <formula>F35&lt;0</formula>
    </cfRule>
  </conditionalFormatting>
  <conditionalFormatting sqref="H35">
    <cfRule type="expression" dxfId="676" priority="15">
      <formula>H35&gt;0</formula>
    </cfRule>
    <cfRule type="expression" dxfId="675" priority="16">
      <formula>H35&lt;0</formula>
    </cfRule>
  </conditionalFormatting>
  <conditionalFormatting sqref="F36">
    <cfRule type="expression" dxfId="674" priority="13">
      <formula>F36&gt;0</formula>
    </cfRule>
    <cfRule type="expression" dxfId="673" priority="14">
      <formula>F36&lt;0</formula>
    </cfRule>
  </conditionalFormatting>
  <conditionalFormatting sqref="H36">
    <cfRule type="expression" dxfId="672" priority="11">
      <formula>H36&gt;0</formula>
    </cfRule>
    <cfRule type="expression" dxfId="671" priority="12">
      <formula>H36&lt;0</formula>
    </cfRule>
  </conditionalFormatting>
  <conditionalFormatting sqref="H23:H24">
    <cfRule type="expression" dxfId="670" priority="5">
      <formula>H23&gt;0</formula>
    </cfRule>
    <cfRule type="expression" dxfId="669" priority="6">
      <formula>H23&lt;0</formula>
    </cfRule>
  </conditionalFormatting>
  <conditionalFormatting sqref="F23:F24">
    <cfRule type="expression" dxfId="668" priority="7">
      <formula>F23&gt;0</formula>
    </cfRule>
    <cfRule type="expression" dxfId="667" priority="8">
      <formula>F23&lt;0</formula>
    </cfRule>
  </conditionalFormatting>
  <conditionalFormatting sqref="Q7">
    <cfRule type="expression" dxfId="666" priority="3">
      <formula>Q7&gt;0</formula>
    </cfRule>
    <cfRule type="expression" dxfId="665" priority="4">
      <formula>Q7&lt;0</formula>
    </cfRule>
  </conditionalFormatting>
  <conditionalFormatting sqref="Q8">
    <cfRule type="expression" dxfId="664" priority="1">
      <formula>Q8&gt;0</formula>
    </cfRule>
    <cfRule type="expression" dxfId="663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9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11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 t="shared" ref="K2:K7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231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47.821833333333387</v>
      </c>
      <c r="T3" s="118"/>
      <c r="W3" s="2"/>
      <c r="X3" s="134"/>
      <c r="AG3" s="225"/>
    </row>
    <row r="4" spans="1:33" x14ac:dyDescent="0.25">
      <c r="B4" s="434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58.63</v>
      </c>
      <c r="R4" s="475">
        <v>5.4999999999999997E-3</v>
      </c>
      <c r="T4" s="816">
        <v>43203</v>
      </c>
      <c r="U4" t="s">
        <v>992</v>
      </c>
      <c r="W4" s="2"/>
      <c r="X4" s="134"/>
      <c r="AD4" s="225"/>
      <c r="AG4" s="225"/>
    </row>
    <row r="5" spans="1:33" x14ac:dyDescent="0.25">
      <c r="B5" s="434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434">
        <v>43272</v>
      </c>
      <c r="H5" s="726">
        <v>50</v>
      </c>
      <c r="I5" s="45">
        <v>54.6</v>
      </c>
      <c r="J5" s="45">
        <v>0.04</v>
      </c>
      <c r="K5" s="43">
        <f t="shared" si="1"/>
        <v>2729.96</v>
      </c>
      <c r="L5" s="4"/>
      <c r="M5" s="4"/>
      <c r="O5" s="11" t="s">
        <v>67</v>
      </c>
      <c r="Q5" s="3">
        <f>Q4*Q2</f>
        <v>7035.6</v>
      </c>
      <c r="U5" t="s">
        <v>994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434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5738.6200000000063</v>
      </c>
      <c r="W6" s="2"/>
      <c r="X6" s="134"/>
    </row>
    <row r="7" spans="1:33" x14ac:dyDescent="0.25">
      <c r="B7" s="434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434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178</v>
      </c>
      <c r="P7"/>
      <c r="Q7" s="2">
        <f>Q10+Q8</f>
        <v>2901.5599999999959</v>
      </c>
      <c r="R7" s="29">
        <v>43325</v>
      </c>
      <c r="T7" s="83">
        <v>43237</v>
      </c>
      <c r="U7" t="s">
        <v>1076</v>
      </c>
      <c r="W7" s="2"/>
      <c r="X7" s="134"/>
      <c r="AD7" s="225"/>
      <c r="AG7" s="225"/>
    </row>
    <row r="8" spans="1:33" x14ac:dyDescent="0.25">
      <c r="B8" s="434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72"/>
      <c r="H8" s="176"/>
      <c r="I8" s="3"/>
      <c r="J8" s="3"/>
      <c r="K8" s="3"/>
      <c r="L8" s="4"/>
      <c r="M8" s="4"/>
      <c r="O8" s="11" t="s">
        <v>180</v>
      </c>
      <c r="Q8" s="2">
        <f>K18+M18-F18+Q2*Q4</f>
        <v>1296.9799999999941</v>
      </c>
      <c r="W8" s="2"/>
      <c r="X8" s="134"/>
    </row>
    <row r="9" spans="1:33" x14ac:dyDescent="0.25">
      <c r="B9" s="434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76"/>
      <c r="I9" s="3"/>
      <c r="J9" s="3"/>
      <c r="K9" s="3"/>
      <c r="L9" s="4"/>
      <c r="M9" s="4"/>
      <c r="O9" s="11" t="s">
        <v>207</v>
      </c>
      <c r="P9"/>
      <c r="Q9" s="134">
        <f>IF(Q2=0, 0, Q8/Q6)</f>
        <v>0.2260090405010251</v>
      </c>
      <c r="W9" s="2"/>
      <c r="X9" s="134"/>
      <c r="AD9" s="225"/>
      <c r="AG9" s="225"/>
    </row>
    <row r="10" spans="1:33" x14ac:dyDescent="0.25">
      <c r="B10" s="474">
        <v>43294</v>
      </c>
      <c r="C10" s="4">
        <v>80</v>
      </c>
      <c r="D10" s="3">
        <v>54.4</v>
      </c>
      <c r="E10" s="3">
        <v>0</v>
      </c>
      <c r="F10" s="3">
        <f t="shared" si="0"/>
        <v>4352</v>
      </c>
      <c r="G10" s="4"/>
      <c r="H10" s="176"/>
      <c r="I10" s="3"/>
      <c r="J10" s="3"/>
      <c r="K10" s="3"/>
      <c r="L10" s="4"/>
      <c r="M10" s="4"/>
      <c r="O10" s="11" t="s">
        <v>206</v>
      </c>
      <c r="Q10" s="2">
        <f>M57</f>
        <v>1604.5800000000017</v>
      </c>
      <c r="W10" s="2"/>
      <c r="X10" s="134"/>
    </row>
    <row r="11" spans="1:33" x14ac:dyDescent="0.25">
      <c r="B11" s="474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76"/>
      <c r="I11" s="3"/>
      <c r="J11" s="3"/>
      <c r="K11" s="3"/>
      <c r="L11" s="4"/>
      <c r="M11" s="4"/>
      <c r="O11" s="11" t="s">
        <v>176</v>
      </c>
      <c r="Q11" s="134">
        <f>R11*4/Q4</f>
        <v>2.933651714139519E-2</v>
      </c>
      <c r="R11">
        <v>0.43</v>
      </c>
      <c r="T11" s="83">
        <v>43294</v>
      </c>
      <c r="U11" t="s">
        <v>1194</v>
      </c>
      <c r="W11" s="2"/>
      <c r="X11" s="134"/>
      <c r="AD11" s="225"/>
      <c r="AG11" s="225"/>
    </row>
    <row r="12" spans="1:33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938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965</v>
      </c>
      <c r="Q13" s="2">
        <f>Q4/4.52</f>
        <v>12.9712389380531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5" t="s">
        <v>78</v>
      </c>
      <c r="Q16" s="81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64.493000000000009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570</v>
      </c>
      <c r="D18" s="18"/>
      <c r="E18" s="18"/>
      <c r="F18" s="18">
        <f>SUM(F2:F17)</f>
        <v>30784.400000000001</v>
      </c>
      <c r="G18" s="14"/>
      <c r="H18" s="71">
        <f>SUM(H2:H17)</f>
        <v>450</v>
      </c>
      <c r="I18" s="18"/>
      <c r="J18" s="18"/>
      <c r="K18" s="18">
        <f>SUM(K2:K17)</f>
        <v>24889.779999999995</v>
      </c>
      <c r="L18" s="18"/>
      <c r="M18" s="18">
        <f>SUM(M2:M17)</f>
        <v>156</v>
      </c>
      <c r="P18" s="81">
        <v>1.0900000000000001</v>
      </c>
      <c r="Q18" s="81">
        <f t="shared" ref="Q18:Q37" si="2">P18*$Q$4</f>
        <v>63.906700000000008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450</v>
      </c>
      <c r="D19" s="343"/>
      <c r="E19" s="343"/>
      <c r="F19" s="344">
        <f>SumByColor($A$19,F2:F17)</f>
        <v>24280</v>
      </c>
      <c r="G19" s="343"/>
      <c r="H19" s="343">
        <f>SumByColor($A$19,H2:H17)</f>
        <v>450</v>
      </c>
      <c r="I19" s="343"/>
      <c r="J19" s="343"/>
      <c r="K19" s="344">
        <f>SumByColor($A$19,K2:K17)</f>
        <v>24890</v>
      </c>
      <c r="L19" s="343"/>
      <c r="M19" s="344">
        <f>SumByColor($A$19,M2:M17)</f>
        <v>156</v>
      </c>
      <c r="P19" s="81">
        <v>1.08</v>
      </c>
      <c r="Q19" s="81">
        <f t="shared" si="2"/>
        <v>63.320400000000006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62.734100000000005</v>
      </c>
      <c r="W20" s="2"/>
      <c r="X20" s="134"/>
    </row>
    <row r="21" spans="1:33" x14ac:dyDescent="0.25">
      <c r="P21" s="81">
        <v>1.06</v>
      </c>
      <c r="Q21" s="81">
        <f t="shared" si="2"/>
        <v>62.147800000000004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61.561500000000002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494</v>
      </c>
      <c r="L23" s="220" t="s">
        <v>965</v>
      </c>
      <c r="M23" s="10"/>
      <c r="P23" s="81">
        <v>1.04</v>
      </c>
      <c r="Q23" s="81">
        <f t="shared" si="2"/>
        <v>60.975200000000008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222">
        <f t="shared" ref="H24:H49" si="5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2"/>
        <v>60.388900000000007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222">
        <f t="shared" si="5"/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2"/>
        <v>59.802600000000005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222">
        <f t="shared" si="5"/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2"/>
        <v>59.216300000000004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222">
        <f t="shared" si="5"/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2"/>
        <v>58.63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222">
        <f t="shared" si="5"/>
        <v>0.10901498946238426</v>
      </c>
      <c r="I28" s="39" t="s">
        <v>762</v>
      </c>
      <c r="J28" s="39">
        <v>2047</v>
      </c>
      <c r="K28" s="39"/>
      <c r="L28" s="10"/>
      <c r="M28" s="10"/>
      <c r="P28" s="81">
        <v>0.99</v>
      </c>
      <c r="Q28" s="81">
        <f t="shared" si="2"/>
        <v>58.043700000000001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222">
        <f t="shared" si="5"/>
        <v>0.22425782822502341</v>
      </c>
      <c r="I29" s="39" t="s">
        <v>847</v>
      </c>
      <c r="J29" s="39">
        <v>2514</v>
      </c>
      <c r="K29" s="39"/>
      <c r="L29" s="10"/>
      <c r="M29" s="10"/>
      <c r="P29" s="81">
        <v>0.98</v>
      </c>
      <c r="Q29" s="81">
        <f t="shared" si="2"/>
        <v>57.4574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222">
        <f t="shared" si="5"/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2"/>
        <v>56.871099999999998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222">
        <f t="shared" si="5"/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2"/>
        <v>56.284799999999997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222">
        <f t="shared" si="5"/>
        <v>5.0956620572078004E-2</v>
      </c>
      <c r="I32" s="193" t="s">
        <v>954</v>
      </c>
      <c r="J32" s="39">
        <v>1927</v>
      </c>
      <c r="K32" s="39"/>
      <c r="L32" s="10"/>
      <c r="M32" s="10"/>
      <c r="P32" s="81">
        <v>0.95</v>
      </c>
      <c r="Q32" s="81">
        <f t="shared" si="2"/>
        <v>55.698500000000003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222">
        <f t="shared" si="5"/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2"/>
        <v>55.112200000000001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222">
        <f t="shared" si="5"/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2"/>
        <v>54.525900000000007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222">
        <f t="shared" si="5"/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2"/>
        <v>53.939600000000006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222">
        <f t="shared" si="5"/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2"/>
        <v>53.353300000000004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222">
        <f t="shared" si="5"/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2"/>
        <v>52.767000000000003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222">
        <f t="shared" si="5"/>
        <v>-8.2138203248080903E-3</v>
      </c>
      <c r="I38" s="39"/>
      <c r="J38" s="39">
        <v>1518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222">
        <f t="shared" si="5"/>
        <v>5.7647088422393016E-2</v>
      </c>
      <c r="I39" s="832" t="s">
        <v>1074</v>
      </c>
      <c r="J39" s="39">
        <v>1962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222">
        <f t="shared" si="5"/>
        <v>3.0351862690696826E-2</v>
      </c>
      <c r="I40" s="39">
        <v>52.25</v>
      </c>
      <c r="J40" s="39">
        <v>1924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222">
        <f t="shared" si="5"/>
        <v>8.9433715272575307E-2</v>
      </c>
      <c r="I41" s="832" t="s">
        <v>1087</v>
      </c>
      <c r="J41" s="39">
        <v>2149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222">
        <f t="shared" si="5"/>
        <v>4.6792606010010361E-2</v>
      </c>
      <c r="I42" s="832" t="s">
        <v>1091</v>
      </c>
      <c r="J42" s="39">
        <v>2093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222">
        <f t="shared" si="5"/>
        <v>1.0555968005740808E-2</v>
      </c>
      <c r="I43" s="39"/>
      <c r="J43" s="39">
        <v>1743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222">
        <f t="shared" si="5"/>
        <v>5.001641550622158E-2</v>
      </c>
      <c r="I44" s="39"/>
      <c r="J44" s="39">
        <v>2256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222">
        <f t="shared" si="5"/>
        <v>4.8266104896572543E-2</v>
      </c>
      <c r="I45" s="832" t="s">
        <v>1139</v>
      </c>
      <c r="J45" s="39">
        <v>2101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222">
        <f t="shared" si="5"/>
        <v>3.5367275553828223E-2</v>
      </c>
      <c r="I46" s="39"/>
      <c r="J46" s="39">
        <v>1969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84">
        <v>43279</v>
      </c>
      <c r="C47" s="228">
        <v>120</v>
      </c>
      <c r="D47" s="229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222">
        <f t="shared" si="5"/>
        <v>9.8525194592380225E-2</v>
      </c>
      <c r="I47" s="832" t="s">
        <v>1141</v>
      </c>
      <c r="J47" s="39">
        <v>2182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84">
        <v>43286</v>
      </c>
      <c r="C48" s="10">
        <v>0</v>
      </c>
      <c r="D48" s="39"/>
      <c r="E48" s="39"/>
      <c r="F48" s="39">
        <v>765.38</v>
      </c>
      <c r="G48" s="10"/>
      <c r="H48" s="222"/>
      <c r="I48" s="39"/>
      <c r="J48" s="39">
        <v>2369.96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8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222">
        <f t="shared" si="5"/>
        <v>0.21339733409468067</v>
      </c>
      <c r="I49" s="39"/>
      <c r="J49" s="39">
        <v>2370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84">
        <v>43294</v>
      </c>
      <c r="C50" s="228">
        <v>120</v>
      </c>
      <c r="D50" s="229">
        <v>47.822000000000003</v>
      </c>
      <c r="E50" s="39">
        <v>55.36</v>
      </c>
      <c r="F50" s="39">
        <f t="shared" ref="F50" si="6">C50*(E50-D50)</f>
        <v>904.5599999999996</v>
      </c>
      <c r="G50" s="39">
        <f t="shared" ref="G50" si="7">D50*C50</f>
        <v>5738.64</v>
      </c>
      <c r="H50" s="222">
        <f t="shared" ref="H50" si="8">(E50-D50)/D50</f>
        <v>0.15762619714775619</v>
      </c>
      <c r="I50" s="39"/>
      <c r="J50" s="39">
        <v>2509</v>
      </c>
      <c r="K50" s="39"/>
      <c r="L50" s="10">
        <v>11.9</v>
      </c>
      <c r="M50" s="10"/>
      <c r="R50" s="81"/>
      <c r="X50" s="134"/>
    </row>
    <row r="51" spans="1:24" x14ac:dyDescent="0.25">
      <c r="A51" s="10"/>
      <c r="B51" s="10"/>
      <c r="C51" s="10"/>
      <c r="D51" s="39"/>
      <c r="E51" s="39"/>
      <c r="F51" s="39"/>
      <c r="G51" s="10"/>
      <c r="H51" s="10"/>
      <c r="I51" s="39"/>
      <c r="J51" s="39"/>
      <c r="K51" s="39"/>
      <c r="L51" s="10"/>
      <c r="M51" s="10"/>
      <c r="R51" s="81"/>
      <c r="X51" s="134"/>
    </row>
    <row r="52" spans="1:24" x14ac:dyDescent="0.25">
      <c r="A52" s="10"/>
      <c r="B52" s="10"/>
      <c r="C52" s="10"/>
      <c r="D52" s="39"/>
      <c r="E52" s="39"/>
      <c r="F52" s="39"/>
      <c r="G52" s="10"/>
      <c r="H52" s="10"/>
      <c r="I52" s="39"/>
      <c r="J52" s="39"/>
      <c r="K52" s="39"/>
      <c r="L52" s="10"/>
      <c r="M52" s="10"/>
      <c r="R52" s="81"/>
      <c r="X52" s="134"/>
    </row>
    <row r="53" spans="1:24" x14ac:dyDescent="0.25">
      <c r="A53" s="10"/>
      <c r="B53" s="10"/>
      <c r="C53" s="10"/>
      <c r="D53" s="39"/>
      <c r="E53" s="39"/>
      <c r="F53" s="39"/>
      <c r="G53" s="10"/>
      <c r="H53" s="10"/>
      <c r="I53" s="39"/>
      <c r="J53" s="39"/>
      <c r="K53" s="39"/>
      <c r="L53" s="10"/>
      <c r="M53" s="10"/>
      <c r="R53" s="81"/>
      <c r="X53" s="134"/>
    </row>
    <row r="54" spans="1:24" x14ac:dyDescent="0.25">
      <c r="A54" s="10"/>
      <c r="B54" s="10"/>
      <c r="C54" s="10"/>
      <c r="D54" s="39"/>
      <c r="E54" s="39"/>
      <c r="F54" s="39"/>
      <c r="G54" s="10"/>
      <c r="H54" s="10"/>
      <c r="I54" s="39"/>
      <c r="J54" s="39"/>
      <c r="K54" s="39"/>
      <c r="L54" s="10"/>
      <c r="M54" s="10"/>
      <c r="R54" s="81"/>
      <c r="X54" s="134"/>
    </row>
    <row r="55" spans="1:24" x14ac:dyDescent="0.25">
      <c r="R55" s="81"/>
      <c r="X55" s="134"/>
    </row>
    <row r="56" spans="1:24" x14ac:dyDescent="0.25">
      <c r="O56" s="2"/>
      <c r="R56" s="81"/>
      <c r="X56" s="134"/>
    </row>
    <row r="57" spans="1:24" x14ac:dyDescent="0.25">
      <c r="L57" t="s">
        <v>65</v>
      </c>
      <c r="M57" s="39">
        <f>M98+K98-F98</f>
        <v>1604.5800000000017</v>
      </c>
      <c r="O57" s="2"/>
      <c r="R57" s="81"/>
      <c r="X57" s="134"/>
    </row>
    <row r="58" spans="1:24" x14ac:dyDescent="0.25">
      <c r="A58" s="252" t="s">
        <v>1</v>
      </c>
      <c r="B58" s="252" t="s">
        <v>2</v>
      </c>
      <c r="C58" s="252" t="s">
        <v>4</v>
      </c>
      <c r="D58" s="253" t="s">
        <v>5</v>
      </c>
      <c r="E58" s="253" t="s">
        <v>90</v>
      </c>
      <c r="F58" s="253" t="s">
        <v>60</v>
      </c>
      <c r="G58" s="252" t="s">
        <v>3</v>
      </c>
      <c r="H58" s="252" t="s">
        <v>6</v>
      </c>
      <c r="I58" s="253" t="s">
        <v>7</v>
      </c>
      <c r="J58" s="253" t="s">
        <v>89</v>
      </c>
      <c r="K58" s="253" t="s">
        <v>61</v>
      </c>
      <c r="L58" s="252" t="s">
        <v>77</v>
      </c>
      <c r="M58" s="252" t="s">
        <v>38</v>
      </c>
      <c r="O58" s="2"/>
      <c r="R58" s="81"/>
      <c r="X58" s="134"/>
    </row>
    <row r="59" spans="1:24" x14ac:dyDescent="0.25">
      <c r="A59" s="254" t="s">
        <v>173</v>
      </c>
      <c r="B59" s="255">
        <v>42376</v>
      </c>
      <c r="C59" s="250">
        <v>40</v>
      </c>
      <c r="D59" s="251">
        <v>50.5</v>
      </c>
      <c r="E59" s="251">
        <v>0</v>
      </c>
      <c r="F59" s="251">
        <f t="shared" ref="F59:F67" si="9">C59*D59+E59</f>
        <v>2020</v>
      </c>
      <c r="G59" s="250"/>
      <c r="H59" s="250"/>
      <c r="I59" s="251"/>
      <c r="J59" s="251"/>
      <c r="K59" s="251"/>
      <c r="L59" s="255">
        <v>42430</v>
      </c>
      <c r="M59" s="251">
        <v>15</v>
      </c>
      <c r="O59" s="2"/>
      <c r="R59" s="81"/>
      <c r="X59" s="134"/>
    </row>
    <row r="60" spans="1:24" x14ac:dyDescent="0.25">
      <c r="A60" s="257" t="s">
        <v>71</v>
      </c>
      <c r="B60" s="255">
        <v>42466</v>
      </c>
      <c r="C60" s="250">
        <v>40</v>
      </c>
      <c r="D60" s="251">
        <v>47.38</v>
      </c>
      <c r="E60" s="251">
        <v>0</v>
      </c>
      <c r="F60" s="251">
        <f t="shared" si="9"/>
        <v>1895.2</v>
      </c>
      <c r="G60" s="255">
        <v>42473</v>
      </c>
      <c r="H60" s="256">
        <v>40</v>
      </c>
      <c r="I60" s="251">
        <v>48.91</v>
      </c>
      <c r="J60" s="251">
        <v>0.04</v>
      </c>
      <c r="K60" s="251">
        <f t="shared" ref="K60:K66" si="10">I60*H60-J60</f>
        <v>1956.36</v>
      </c>
      <c r="L60" s="255">
        <v>42522</v>
      </c>
      <c r="M60" s="251">
        <v>30.4</v>
      </c>
      <c r="O60" s="2"/>
      <c r="R60" s="81"/>
      <c r="X60" s="134"/>
    </row>
    <row r="61" spans="1:24" x14ac:dyDescent="0.25">
      <c r="A61" s="250"/>
      <c r="B61" s="255">
        <v>42474</v>
      </c>
      <c r="C61" s="250">
        <v>40</v>
      </c>
      <c r="D61" s="251">
        <v>48.55</v>
      </c>
      <c r="E61" s="251">
        <v>0</v>
      </c>
      <c r="F61" s="251">
        <f t="shared" si="9"/>
        <v>1942</v>
      </c>
      <c r="G61" s="255">
        <v>42487</v>
      </c>
      <c r="H61" s="256">
        <v>40</v>
      </c>
      <c r="I61" s="251">
        <v>50.97</v>
      </c>
      <c r="J61" s="251">
        <v>0.04</v>
      </c>
      <c r="K61" s="251">
        <f t="shared" si="10"/>
        <v>2038.76</v>
      </c>
      <c r="L61" s="255">
        <v>42614</v>
      </c>
      <c r="M61" s="251">
        <v>41.8</v>
      </c>
      <c r="O61" s="2"/>
      <c r="X61" s="134"/>
    </row>
    <row r="62" spans="1:24" x14ac:dyDescent="0.25">
      <c r="A62" s="250"/>
      <c r="B62" s="255">
        <v>42489</v>
      </c>
      <c r="C62" s="250">
        <v>40</v>
      </c>
      <c r="D62" s="251">
        <v>50.01</v>
      </c>
      <c r="E62" s="251">
        <v>0</v>
      </c>
      <c r="F62" s="251">
        <f t="shared" si="9"/>
        <v>2000.3999999999999</v>
      </c>
      <c r="G62" s="255">
        <v>42514</v>
      </c>
      <c r="H62" s="392">
        <v>40</v>
      </c>
      <c r="I62" s="354">
        <v>49.29</v>
      </c>
      <c r="J62" s="354">
        <v>0.04</v>
      </c>
      <c r="K62" s="354">
        <f t="shared" si="10"/>
        <v>1971.56</v>
      </c>
      <c r="L62" s="250"/>
      <c r="M62" s="250"/>
      <c r="O62" s="2"/>
      <c r="X62" s="134"/>
    </row>
    <row r="63" spans="1:24" x14ac:dyDescent="0.25">
      <c r="A63" s="250"/>
      <c r="B63" s="255">
        <v>42503</v>
      </c>
      <c r="C63" s="250">
        <v>10</v>
      </c>
      <c r="D63" s="251">
        <v>48.2</v>
      </c>
      <c r="E63" s="251">
        <v>0</v>
      </c>
      <c r="F63" s="251">
        <f t="shared" si="9"/>
        <v>482</v>
      </c>
      <c r="G63" s="255">
        <v>42517</v>
      </c>
      <c r="H63" s="256">
        <v>20</v>
      </c>
      <c r="I63" s="251">
        <v>50.72</v>
      </c>
      <c r="J63" s="251">
        <v>0.02</v>
      </c>
      <c r="K63" s="354">
        <f t="shared" si="10"/>
        <v>1014.38</v>
      </c>
      <c r="L63" s="250"/>
      <c r="M63" s="250"/>
      <c r="O63" s="2"/>
      <c r="X63" s="134"/>
    </row>
    <row r="64" spans="1:24" x14ac:dyDescent="0.25">
      <c r="A64" s="250"/>
      <c r="B64" s="255">
        <v>42503</v>
      </c>
      <c r="C64" s="250">
        <v>20</v>
      </c>
      <c r="D64" s="251">
        <v>48.2</v>
      </c>
      <c r="E64" s="251">
        <v>0</v>
      </c>
      <c r="F64" s="251">
        <f t="shared" si="9"/>
        <v>964</v>
      </c>
      <c r="G64" s="255">
        <v>42527</v>
      </c>
      <c r="H64" s="256">
        <v>30</v>
      </c>
      <c r="I64" s="251">
        <v>50.59</v>
      </c>
      <c r="J64" s="251">
        <v>0.03</v>
      </c>
      <c r="K64" s="354">
        <f t="shared" si="10"/>
        <v>1517.67</v>
      </c>
      <c r="L64" s="250"/>
      <c r="M64" s="250"/>
      <c r="O64" s="2"/>
      <c r="X64" s="134"/>
    </row>
    <row r="65" spans="1:24" x14ac:dyDescent="0.25">
      <c r="A65" s="250"/>
      <c r="B65" s="255">
        <v>42524</v>
      </c>
      <c r="C65" s="250">
        <v>30</v>
      </c>
      <c r="D65" s="251">
        <v>50.01</v>
      </c>
      <c r="E65" s="251">
        <v>0</v>
      </c>
      <c r="F65" s="251">
        <f t="shared" si="9"/>
        <v>1500.3</v>
      </c>
      <c r="G65" s="255">
        <v>42587</v>
      </c>
      <c r="H65" s="256">
        <v>30</v>
      </c>
      <c r="I65" s="251">
        <v>48.68</v>
      </c>
      <c r="J65" s="251">
        <v>0.03</v>
      </c>
      <c r="K65" s="251">
        <f t="shared" si="10"/>
        <v>1460.3700000000001</v>
      </c>
      <c r="L65" s="250"/>
      <c r="M65" s="250"/>
      <c r="O65" s="2"/>
      <c r="X65" s="134"/>
    </row>
    <row r="66" spans="1:24" x14ac:dyDescent="0.25">
      <c r="A66" s="250"/>
      <c r="B66" s="255">
        <v>42531</v>
      </c>
      <c r="C66" s="250">
        <v>30</v>
      </c>
      <c r="D66" s="251">
        <v>48.51</v>
      </c>
      <c r="E66" s="251">
        <v>0</v>
      </c>
      <c r="F66" s="251">
        <f t="shared" si="9"/>
        <v>1455.3</v>
      </c>
      <c r="G66" s="255">
        <v>42611</v>
      </c>
      <c r="H66" s="256">
        <v>80</v>
      </c>
      <c r="I66" s="251">
        <v>49.71</v>
      </c>
      <c r="J66" s="251">
        <v>0.09</v>
      </c>
      <c r="K66" s="251">
        <f t="shared" si="10"/>
        <v>3976.71</v>
      </c>
      <c r="L66" s="250"/>
      <c r="M66" s="250"/>
      <c r="O66" s="2"/>
      <c r="X66" s="134"/>
    </row>
    <row r="67" spans="1:24" x14ac:dyDescent="0.25">
      <c r="A67" s="250"/>
      <c r="B67" s="255">
        <v>42566</v>
      </c>
      <c r="C67" s="250">
        <v>30</v>
      </c>
      <c r="D67" s="251">
        <v>47.58</v>
      </c>
      <c r="E67" s="251">
        <v>0</v>
      </c>
      <c r="F67" s="251">
        <f t="shared" si="9"/>
        <v>1427.3999999999999</v>
      </c>
      <c r="G67" s="250"/>
      <c r="H67" s="250"/>
      <c r="I67" s="251"/>
      <c r="J67" s="251"/>
      <c r="K67" s="251"/>
      <c r="L67" s="250"/>
      <c r="M67" s="250"/>
      <c r="O67" s="2"/>
      <c r="X67" s="134"/>
    </row>
    <row r="68" spans="1:24" x14ac:dyDescent="0.25">
      <c r="A68" s="250"/>
      <c r="B68" s="255">
        <v>42627</v>
      </c>
      <c r="C68" s="250">
        <v>40</v>
      </c>
      <c r="D68" s="251">
        <v>46.47</v>
      </c>
      <c r="E68" s="251">
        <v>0</v>
      </c>
      <c r="F68" s="251">
        <f>D68*C68+E68</f>
        <v>1858.8</v>
      </c>
      <c r="G68" s="255">
        <v>42670</v>
      </c>
      <c r="H68" s="256">
        <v>40</v>
      </c>
      <c r="I68" s="251">
        <v>46.48</v>
      </c>
      <c r="J68" s="251">
        <v>0.04</v>
      </c>
      <c r="K68" s="251">
        <f>I68*H68-J68</f>
        <v>1859.1599999999999</v>
      </c>
      <c r="L68" s="255">
        <v>42705</v>
      </c>
      <c r="M68" s="251">
        <v>15.2</v>
      </c>
      <c r="X68" s="134"/>
    </row>
    <row r="69" spans="1:24" x14ac:dyDescent="0.25">
      <c r="A69" s="250"/>
      <c r="B69" s="255">
        <v>42639</v>
      </c>
      <c r="C69" s="250">
        <v>40</v>
      </c>
      <c r="D69" s="251">
        <v>44.8</v>
      </c>
      <c r="E69" s="251">
        <v>0</v>
      </c>
      <c r="F69" s="251">
        <f>D69*C69+E69</f>
        <v>1792</v>
      </c>
      <c r="G69" s="255">
        <v>42683</v>
      </c>
      <c r="H69" s="256">
        <v>40</v>
      </c>
      <c r="I69" s="251">
        <v>46.58</v>
      </c>
      <c r="J69" s="251">
        <v>0.04</v>
      </c>
      <c r="K69" s="251">
        <f>I69*H69-J69</f>
        <v>1863.1599999999999</v>
      </c>
      <c r="L69" s="255"/>
      <c r="M69" s="251"/>
      <c r="X69" s="134"/>
    </row>
    <row r="70" spans="1:24" x14ac:dyDescent="0.25">
      <c r="A70" s="250"/>
      <c r="B70" s="255">
        <v>42678</v>
      </c>
      <c r="C70" s="250">
        <v>40</v>
      </c>
      <c r="D70" s="251">
        <v>44.95</v>
      </c>
      <c r="E70" s="251">
        <v>0</v>
      </c>
      <c r="F70" s="251">
        <f>D70*C70+E70</f>
        <v>1798</v>
      </c>
      <c r="G70" s="255">
        <v>42710</v>
      </c>
      <c r="H70" s="256">
        <v>40</v>
      </c>
      <c r="I70" s="251">
        <v>55.08</v>
      </c>
      <c r="J70" s="251">
        <v>0.05</v>
      </c>
      <c r="K70" s="251">
        <f>I70*H70-J70</f>
        <v>2203.1499999999996</v>
      </c>
      <c r="L70" s="255"/>
      <c r="M70" s="250"/>
    </row>
    <row r="71" spans="1:24" x14ac:dyDescent="0.25">
      <c r="A71" s="250"/>
      <c r="B71" s="255"/>
      <c r="C71" s="250"/>
      <c r="D71" s="251"/>
      <c r="E71" s="251"/>
      <c r="F71" s="251"/>
      <c r="G71" s="255"/>
      <c r="H71" s="392"/>
      <c r="I71" s="354"/>
      <c r="J71" s="354"/>
      <c r="K71" s="354"/>
      <c r="L71" s="250"/>
      <c r="M71" s="250"/>
    </row>
    <row r="72" spans="1:24" x14ac:dyDescent="0.25">
      <c r="A72" s="250"/>
      <c r="B72" s="434">
        <v>42718</v>
      </c>
      <c r="C72" s="7">
        <v>40</v>
      </c>
      <c r="D72" s="43">
        <v>54.28</v>
      </c>
      <c r="E72" s="43">
        <v>0</v>
      </c>
      <c r="F72" s="43">
        <f>C72*D72+E72</f>
        <v>2171.1999999999998</v>
      </c>
      <c r="G72" s="434">
        <v>42759</v>
      </c>
      <c r="H72" s="80">
        <v>40</v>
      </c>
      <c r="I72" s="43">
        <v>54.92</v>
      </c>
      <c r="J72" s="43">
        <v>0.05</v>
      </c>
      <c r="K72" s="43">
        <f>H72*I72-J72</f>
        <v>2196.75</v>
      </c>
      <c r="L72" s="250"/>
      <c r="M72" s="250"/>
    </row>
    <row r="73" spans="1:24" x14ac:dyDescent="0.25">
      <c r="A73" s="250"/>
      <c r="B73" s="434">
        <v>42733</v>
      </c>
      <c r="C73" s="7">
        <v>40</v>
      </c>
      <c r="D73" s="43">
        <v>54.58</v>
      </c>
      <c r="E73" s="43">
        <v>0</v>
      </c>
      <c r="F73" s="43">
        <f>C73*D73+E73</f>
        <v>2183.1999999999998</v>
      </c>
      <c r="G73" s="571">
        <v>42767</v>
      </c>
      <c r="H73" s="80">
        <v>40</v>
      </c>
      <c r="I73" s="43">
        <v>57.05</v>
      </c>
      <c r="J73" s="43">
        <v>0.05</v>
      </c>
      <c r="K73" s="43">
        <f>H73*I73-J73</f>
        <v>2281.9499999999998</v>
      </c>
      <c r="L73" s="250"/>
      <c r="M73" s="250"/>
    </row>
    <row r="74" spans="1:24" x14ac:dyDescent="0.25">
      <c r="A74" s="250"/>
      <c r="B74" s="434">
        <v>42740</v>
      </c>
      <c r="C74" s="7">
        <v>40</v>
      </c>
      <c r="D74" s="43">
        <v>54.9</v>
      </c>
      <c r="E74" s="43">
        <v>0</v>
      </c>
      <c r="F74" s="43">
        <f>C74*D74+E74</f>
        <v>2196</v>
      </c>
      <c r="G74" s="434">
        <v>42781</v>
      </c>
      <c r="H74" s="80">
        <v>40</v>
      </c>
      <c r="I74" s="43">
        <v>58.48</v>
      </c>
      <c r="J74" s="43">
        <v>0.05</v>
      </c>
      <c r="K74" s="43">
        <f>H74*I74-J74</f>
        <v>2339.1499999999996</v>
      </c>
      <c r="L74" s="250"/>
      <c r="M74" s="250"/>
    </row>
    <row r="75" spans="1:24" x14ac:dyDescent="0.25">
      <c r="A75" s="250"/>
      <c r="B75" s="255"/>
      <c r="C75" s="250"/>
      <c r="D75" s="251"/>
      <c r="E75" s="251"/>
      <c r="F75" s="251"/>
      <c r="G75" s="255"/>
      <c r="H75" s="256"/>
      <c r="I75" s="251"/>
      <c r="J75" s="251"/>
      <c r="K75" s="354"/>
      <c r="L75" s="250"/>
      <c r="M75" s="250"/>
    </row>
    <row r="76" spans="1:24" x14ac:dyDescent="0.25">
      <c r="A76" s="250"/>
      <c r="B76" s="434">
        <v>42767</v>
      </c>
      <c r="C76" s="7">
        <v>40</v>
      </c>
      <c r="D76" s="43">
        <v>56.68</v>
      </c>
      <c r="E76" s="43">
        <v>0</v>
      </c>
      <c r="F76" s="43">
        <f>C76*D76+E76</f>
        <v>2267.1999999999998</v>
      </c>
      <c r="G76" s="434">
        <v>42803</v>
      </c>
      <c r="H76" s="7">
        <v>40</v>
      </c>
      <c r="I76" s="43">
        <v>58.65</v>
      </c>
      <c r="J76" s="43">
        <v>0.05</v>
      </c>
      <c r="K76" s="43">
        <f>H76*I76-J76</f>
        <v>2345.9499999999998</v>
      </c>
      <c r="L76" s="72">
        <v>42795</v>
      </c>
      <c r="M76" s="43">
        <v>30.4</v>
      </c>
    </row>
    <row r="77" spans="1:24" x14ac:dyDescent="0.25">
      <c r="A77" s="250"/>
      <c r="B77" s="255"/>
      <c r="C77" s="250"/>
      <c r="D77" s="251"/>
      <c r="E77" s="251"/>
      <c r="F77" s="251"/>
      <c r="G77" s="255"/>
      <c r="H77" s="256"/>
      <c r="I77" s="251"/>
      <c r="J77" s="251"/>
      <c r="K77" s="354"/>
      <c r="L77" s="250"/>
      <c r="M77" s="250"/>
    </row>
    <row r="78" spans="1:24" x14ac:dyDescent="0.25">
      <c r="A78" s="250"/>
      <c r="B78" s="434">
        <v>42782</v>
      </c>
      <c r="C78" s="7">
        <v>40</v>
      </c>
      <c r="D78" s="43">
        <v>57.85</v>
      </c>
      <c r="E78" s="43">
        <v>0</v>
      </c>
      <c r="F78" s="43">
        <f t="shared" ref="F78:F83" si="11">C78*D78+E78</f>
        <v>2314</v>
      </c>
      <c r="G78" s="434">
        <v>42915</v>
      </c>
      <c r="H78" s="7">
        <v>80</v>
      </c>
      <c r="I78" s="43">
        <v>55.8</v>
      </c>
      <c r="J78" s="43">
        <v>0.1</v>
      </c>
      <c r="K78" s="43">
        <f>H78*I78-J78</f>
        <v>4463.8999999999996</v>
      </c>
      <c r="L78" s="72">
        <v>42888</v>
      </c>
      <c r="M78" s="43">
        <v>45.6</v>
      </c>
    </row>
    <row r="79" spans="1:24" x14ac:dyDescent="0.25">
      <c r="A79" s="250"/>
      <c r="B79" s="434">
        <v>42815</v>
      </c>
      <c r="C79" s="7">
        <v>40</v>
      </c>
      <c r="D79" s="43">
        <v>57.28</v>
      </c>
      <c r="E79" s="43">
        <v>0</v>
      </c>
      <c r="F79" s="43">
        <f t="shared" si="11"/>
        <v>2291.1999999999998</v>
      </c>
      <c r="G79" s="434">
        <v>42997</v>
      </c>
      <c r="H79" s="80">
        <v>80</v>
      </c>
      <c r="I79" s="43">
        <v>53.18</v>
      </c>
      <c r="J79" s="43">
        <v>0.1</v>
      </c>
      <c r="K79" s="43">
        <f>H79*I79-J79</f>
        <v>4254.2999999999993</v>
      </c>
      <c r="L79" s="1">
        <v>42979</v>
      </c>
      <c r="M79" s="43">
        <v>62.4</v>
      </c>
    </row>
    <row r="80" spans="1:24" x14ac:dyDescent="0.25">
      <c r="A80" s="250"/>
      <c r="B80" s="434">
        <v>42836</v>
      </c>
      <c r="C80" s="7">
        <v>40</v>
      </c>
      <c r="D80" s="43">
        <v>53.6</v>
      </c>
      <c r="E80" s="43">
        <v>0</v>
      </c>
      <c r="F80" s="43">
        <f t="shared" si="11"/>
        <v>2144</v>
      </c>
      <c r="G80" s="434">
        <v>43005</v>
      </c>
      <c r="H80" s="80">
        <v>40</v>
      </c>
      <c r="I80" s="43">
        <v>54.42</v>
      </c>
      <c r="J80" s="43">
        <v>0.05</v>
      </c>
      <c r="K80" s="43">
        <f>H80*I80-J80</f>
        <v>2176.75</v>
      </c>
      <c r="L80" s="72"/>
      <c r="M80" s="4"/>
    </row>
    <row r="81" spans="1:13" x14ac:dyDescent="0.25">
      <c r="A81" s="250"/>
      <c r="B81" s="434">
        <v>42886</v>
      </c>
      <c r="C81" s="7">
        <v>80</v>
      </c>
      <c r="D81" s="43">
        <v>50.88</v>
      </c>
      <c r="E81" s="43">
        <v>0</v>
      </c>
      <c r="F81" s="43">
        <f t="shared" si="11"/>
        <v>4070.4</v>
      </c>
      <c r="G81" s="434">
        <v>43006</v>
      </c>
      <c r="H81" s="726">
        <v>40</v>
      </c>
      <c r="I81" s="45">
        <v>54.3</v>
      </c>
      <c r="J81" s="45">
        <v>0.05</v>
      </c>
      <c r="K81" s="43">
        <f>H81*I81-J81</f>
        <v>2171.9499999999998</v>
      </c>
      <c r="L81" s="4"/>
      <c r="M81" s="4"/>
    </row>
    <row r="82" spans="1:13" x14ac:dyDescent="0.25">
      <c r="A82" s="250"/>
      <c r="B82" s="434">
        <v>42944</v>
      </c>
      <c r="C82" s="7">
        <v>40</v>
      </c>
      <c r="D82" s="43">
        <v>53.37</v>
      </c>
      <c r="E82" s="43">
        <v>-0.1</v>
      </c>
      <c r="F82" s="43">
        <f t="shared" si="11"/>
        <v>2134.6999999999998</v>
      </c>
      <c r="G82" s="434">
        <v>43007</v>
      </c>
      <c r="H82" s="80">
        <v>80</v>
      </c>
      <c r="I82" s="43">
        <v>54.85</v>
      </c>
      <c r="J82" s="43">
        <v>0.1</v>
      </c>
      <c r="K82" s="45">
        <f>H82*I82-J82</f>
        <v>4387.8999999999996</v>
      </c>
      <c r="L82" s="4"/>
      <c r="M82" s="4"/>
    </row>
    <row r="83" spans="1:13" x14ac:dyDescent="0.25">
      <c r="A83" s="250"/>
      <c r="B83" s="434">
        <v>42951</v>
      </c>
      <c r="C83" s="7">
        <v>80</v>
      </c>
      <c r="D83" s="43">
        <v>52.61</v>
      </c>
      <c r="E83" s="43">
        <v>0</v>
      </c>
      <c r="F83" s="43">
        <f t="shared" si="11"/>
        <v>4208.8</v>
      </c>
      <c r="G83" s="72"/>
      <c r="H83" s="176"/>
      <c r="I83" s="3"/>
      <c r="J83" s="3"/>
      <c r="K83" s="73"/>
      <c r="L83" s="4"/>
      <c r="M83" s="4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255"/>
      <c r="C85" s="250"/>
      <c r="D85" s="251"/>
      <c r="E85" s="251"/>
      <c r="F85" s="251"/>
      <c r="G85" s="255"/>
      <c r="H85" s="256"/>
      <c r="I85" s="251"/>
      <c r="J85" s="251"/>
      <c r="K85" s="354"/>
      <c r="L85" s="250"/>
      <c r="M85" s="250"/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255"/>
      <c r="C87" s="250"/>
      <c r="D87" s="251"/>
      <c r="E87" s="251"/>
      <c r="F87" s="251"/>
      <c r="G87" s="255"/>
      <c r="H87" s="256"/>
      <c r="I87" s="251"/>
      <c r="J87" s="251"/>
      <c r="K87" s="354"/>
      <c r="L87" s="250"/>
      <c r="M87" s="250"/>
    </row>
    <row r="88" spans="1:13" x14ac:dyDescent="0.25">
      <c r="A88" s="250"/>
      <c r="B88" s="255"/>
      <c r="C88" s="250"/>
      <c r="D88" s="251"/>
      <c r="E88" s="251"/>
      <c r="F88" s="251"/>
      <c r="G88" s="255"/>
      <c r="H88" s="256"/>
      <c r="I88" s="251"/>
      <c r="J88" s="251"/>
      <c r="K88" s="354"/>
      <c r="L88" s="250"/>
      <c r="M88" s="250"/>
    </row>
    <row r="89" spans="1:13" x14ac:dyDescent="0.25">
      <c r="A89" s="250"/>
      <c r="B89" s="255"/>
      <c r="C89" s="250"/>
      <c r="D89" s="251"/>
      <c r="E89" s="251"/>
      <c r="F89" s="251"/>
      <c r="G89" s="255"/>
      <c r="H89" s="256"/>
      <c r="I89" s="251"/>
      <c r="J89" s="251"/>
      <c r="K89" s="354"/>
      <c r="L89" s="250"/>
      <c r="M89" s="250"/>
    </row>
    <row r="90" spans="1:13" x14ac:dyDescent="0.25">
      <c r="A90" s="250"/>
      <c r="B90" s="255"/>
      <c r="C90" s="250"/>
      <c r="D90" s="251"/>
      <c r="E90" s="251"/>
      <c r="F90" s="251"/>
      <c r="G90" s="255"/>
      <c r="H90" s="256"/>
      <c r="I90" s="251"/>
      <c r="J90" s="251"/>
      <c r="K90" s="354"/>
      <c r="L90" s="250"/>
      <c r="M90" s="250"/>
    </row>
    <row r="91" spans="1:13" x14ac:dyDescent="0.25">
      <c r="A91" s="250"/>
      <c r="B91" s="255"/>
      <c r="C91" s="250"/>
      <c r="D91" s="251"/>
      <c r="E91" s="251"/>
      <c r="F91" s="251"/>
      <c r="G91" s="255"/>
      <c r="H91" s="256"/>
      <c r="I91" s="251"/>
      <c r="J91" s="251"/>
      <c r="K91" s="354"/>
      <c r="L91" s="250"/>
      <c r="M91" s="250"/>
    </row>
    <row r="92" spans="1:13" x14ac:dyDescent="0.25">
      <c r="A92" s="250"/>
      <c r="B92" s="255"/>
      <c r="C92" s="250"/>
      <c r="D92" s="251"/>
      <c r="E92" s="251"/>
      <c r="F92" s="251"/>
      <c r="G92" s="255"/>
      <c r="H92" s="256"/>
      <c r="I92" s="251"/>
      <c r="J92" s="251"/>
      <c r="K92" s="354"/>
      <c r="L92" s="250"/>
      <c r="M92" s="250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0"/>
      <c r="C97" s="250"/>
      <c r="D97" s="251"/>
      <c r="E97" s="251"/>
      <c r="F97" s="251"/>
      <c r="G97" s="250"/>
      <c r="H97" s="256"/>
      <c r="I97" s="251"/>
      <c r="J97" s="251"/>
      <c r="K97" s="251"/>
      <c r="L97" s="250"/>
      <c r="M97" s="250"/>
    </row>
    <row r="98" spans="1:13" x14ac:dyDescent="0.25">
      <c r="A98" s="31" t="s">
        <v>81</v>
      </c>
      <c r="B98" s="14"/>
      <c r="C98" s="14">
        <f>SUM(C59:C97)</f>
        <v>880</v>
      </c>
      <c r="D98" s="18"/>
      <c r="E98" s="18"/>
      <c r="F98" s="18">
        <f>SUM(F59:F97)</f>
        <v>45116.1</v>
      </c>
      <c r="G98" s="14"/>
      <c r="H98" s="71">
        <f>SUM(H60:H97)</f>
        <v>880</v>
      </c>
      <c r="I98" s="18"/>
      <c r="J98" s="18"/>
      <c r="K98" s="18">
        <f>SUM(K60:K97)</f>
        <v>46479.88</v>
      </c>
      <c r="L98" s="18"/>
      <c r="M98" s="18">
        <f>SUM(M59:M97)</f>
        <v>240.79999999999998</v>
      </c>
    </row>
    <row r="99" spans="1:13" ht="15.75" thickBot="1" x14ac:dyDescent="0.3">
      <c r="A99" s="439" t="s">
        <v>193</v>
      </c>
      <c r="B99" s="440"/>
      <c r="C99" s="441">
        <f>SumByColor($A$19,C59:C97)</f>
        <v>480</v>
      </c>
      <c r="D99" s="441"/>
      <c r="E99" s="441"/>
      <c r="F99" s="442">
        <f>SumByColor($A$19,F59:F97)</f>
        <v>25980</v>
      </c>
      <c r="G99" s="441"/>
      <c r="H99" s="441">
        <f>SumByColor($A$19,H59:H97)</f>
        <v>480</v>
      </c>
      <c r="I99" s="441"/>
      <c r="J99" s="441"/>
      <c r="K99" s="442">
        <f>SumByColor($A$19,K59:K97)</f>
        <v>26619</v>
      </c>
      <c r="L99" s="441"/>
      <c r="M99" s="442">
        <f>SumByColor($A$19,M59:M97)</f>
        <v>138</v>
      </c>
    </row>
  </sheetData>
  <conditionalFormatting sqref="P17:P37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93">
      <iconSet iconSet="3Arrows">
        <cfvo type="percent" val="0"/>
        <cfvo type="num" val="0"/>
        <cfvo type="num" val="0"/>
      </iconSet>
    </cfRule>
  </conditionalFormatting>
  <conditionalFormatting sqref="Q8">
    <cfRule type="expression" dxfId="662" priority="67">
      <formula>Q8&gt;0</formula>
    </cfRule>
    <cfRule type="expression" dxfId="661" priority="68">
      <formula>Q8&lt;0</formula>
    </cfRule>
  </conditionalFormatting>
  <conditionalFormatting sqref="Q7">
    <cfRule type="expression" dxfId="660" priority="69">
      <formula>Q7&gt;0</formula>
    </cfRule>
    <cfRule type="expression" dxfId="659" priority="70">
      <formula>Q7&lt;0</formula>
    </cfRule>
  </conditionalFormatting>
  <conditionalFormatting sqref="M57">
    <cfRule type="expression" dxfId="658" priority="57">
      <formula>M57&gt;0</formula>
    </cfRule>
    <cfRule type="expression" dxfId="657" priority="58">
      <formula>M57&lt;0</formula>
    </cfRule>
  </conditionalFormatting>
  <conditionalFormatting sqref="M57">
    <cfRule type="expression" dxfId="656" priority="59">
      <formula>M57&gt;0</formula>
    </cfRule>
    <cfRule type="expression" dxfId="655" priority="60">
      <formula>M57&lt;0</formula>
    </cfRule>
  </conditionalFormatting>
  <conditionalFormatting sqref="F24:F50">
    <cfRule type="expression" dxfId="654" priority="45">
      <formula>F24&gt;0</formula>
    </cfRule>
    <cfRule type="expression" dxfId="653" priority="46">
      <formula>F24&lt;0</formula>
    </cfRule>
  </conditionalFormatting>
  <conditionalFormatting sqref="F24:F50">
    <cfRule type="expression" dxfId="652" priority="47">
      <formula>F24&gt;0</formula>
    </cfRule>
    <cfRule type="expression" dxfId="651" priority="48">
      <formula>F24&lt;0</formula>
    </cfRule>
  </conditionalFormatting>
  <conditionalFormatting sqref="H24:H50">
    <cfRule type="expression" dxfId="650" priority="43">
      <formula>H24&gt;0</formula>
    </cfRule>
    <cfRule type="expression" dxfId="649" priority="44">
      <formula>H24&lt;0</formula>
    </cfRule>
  </conditionalFormatting>
  <conditionalFormatting sqref="J27:J38">
    <cfRule type="expression" dxfId="648" priority="13">
      <formula>J27&gt;0</formula>
    </cfRule>
    <cfRule type="expression" dxfId="647" priority="14">
      <formula>J27&lt;0</formula>
    </cfRule>
  </conditionalFormatting>
  <conditionalFormatting sqref="J27:J38">
    <cfRule type="expression" dxfId="646" priority="15">
      <formula>J27&gt;0</formula>
    </cfRule>
    <cfRule type="expression" dxfId="645" priority="16">
      <formula>J27&lt;0</formula>
    </cfRule>
  </conditionalFormatting>
  <conditionalFormatting sqref="W1:W46">
    <cfRule type="dataBar" priority="83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39">
    <cfRule type="expression" dxfId="644" priority="9">
      <formula>J39&gt;0</formula>
    </cfRule>
    <cfRule type="expression" dxfId="643" priority="10">
      <formula>J39&lt;0</formula>
    </cfRule>
  </conditionalFormatting>
  <conditionalFormatting sqref="J39">
    <cfRule type="expression" dxfId="642" priority="11">
      <formula>J39&gt;0</formula>
    </cfRule>
    <cfRule type="expression" dxfId="641" priority="12">
      <formula>J39&lt;0</formula>
    </cfRule>
  </conditionalFormatting>
  <conditionalFormatting sqref="J40:J54">
    <cfRule type="expression" dxfId="640" priority="5">
      <formula>J40&gt;0</formula>
    </cfRule>
    <cfRule type="expression" dxfId="639" priority="6">
      <formula>J40&lt;0</formula>
    </cfRule>
  </conditionalFormatting>
  <conditionalFormatting sqref="J40:J54">
    <cfRule type="expression" dxfId="638" priority="7">
      <formula>J40&gt;0</formula>
    </cfRule>
    <cfRule type="expression" dxfId="637" priority="8">
      <formula>J40&lt;0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229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47.89</v>
      </c>
      <c r="T3" s="118">
        <v>42568</v>
      </c>
      <c r="U3" t="s">
        <v>234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47.89</v>
      </c>
      <c r="R4" s="475">
        <v>-8.3000000000000001E-3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207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206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57" t="s">
        <v>78</v>
      </c>
      <c r="Q39" s="857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52.679000000000002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52.200100000000006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51.721200000000003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51.2423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50.763400000000004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50.284500000000001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49.805600000000005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49.326700000000002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48.847799999999999</v>
      </c>
      <c r="R48" s="81"/>
      <c r="T48" s="85" t="s">
        <v>104</v>
      </c>
      <c r="U48" s="86" t="s">
        <v>620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48.368900000000004</v>
      </c>
      <c r="R49" s="81"/>
      <c r="T49" s="85" t="s">
        <v>105</v>
      </c>
      <c r="U49" s="86" t="s">
        <v>421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47.89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47.411099999999998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46.932200000000002</v>
      </c>
      <c r="R52" s="81"/>
      <c r="T52" s="85" t="s">
        <v>107</v>
      </c>
      <c r="U52" s="86" t="s">
        <v>621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46.453299999999999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45.974399999999996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45.4955</v>
      </c>
      <c r="R55" s="81"/>
      <c r="T55" s="85" t="s">
        <v>108</v>
      </c>
      <c r="U55" s="86" t="s">
        <v>505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45.016599999999997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44.537700000000001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44.058800000000005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43.579900000000002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43.100999999999999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228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36" priority="66">
      <formula>F22&gt;0</formula>
    </cfRule>
    <cfRule type="expression" dxfId="635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34" priority="53">
      <formula>F41&gt;0</formula>
    </cfRule>
    <cfRule type="expression" dxfId="633" priority="54">
      <formula>F41&lt;0</formula>
    </cfRule>
  </conditionalFormatting>
  <conditionalFormatting sqref="F41">
    <cfRule type="expression" dxfId="632" priority="57">
      <formula>F41&gt;0</formula>
    </cfRule>
    <cfRule type="expression" dxfId="631" priority="58">
      <formula>F41&lt;0</formula>
    </cfRule>
  </conditionalFormatting>
  <conditionalFormatting sqref="H41">
    <cfRule type="expression" dxfId="630" priority="35">
      <formula>H41&gt;0</formula>
    </cfRule>
    <cfRule type="expression" dxfId="629" priority="36">
      <formula>H41&lt;0</formula>
    </cfRule>
  </conditionalFormatting>
  <conditionalFormatting sqref="F89:F95">
    <cfRule type="expression" dxfId="628" priority="29">
      <formula>F89&gt;0</formula>
    </cfRule>
    <cfRule type="expression" dxfId="627" priority="30">
      <formula>F89&lt;0</formula>
    </cfRule>
  </conditionalFormatting>
  <conditionalFormatting sqref="F96:F110">
    <cfRule type="expression" dxfId="626" priority="25">
      <formula>F96&gt;0</formula>
    </cfRule>
    <cfRule type="expression" dxfId="625" priority="26">
      <formula>F96&lt;0</formula>
    </cfRule>
  </conditionalFormatting>
  <conditionalFormatting sqref="F96:F110">
    <cfRule type="expression" dxfId="624" priority="27">
      <formula>F96&gt;0</formula>
    </cfRule>
    <cfRule type="expression" dxfId="623" priority="28">
      <formula>F96&lt;0</formula>
    </cfRule>
  </conditionalFormatting>
  <conditionalFormatting sqref="H89:H100">
    <cfRule type="expression" dxfId="622" priority="23">
      <formula>H89&gt;0</formula>
    </cfRule>
    <cfRule type="expression" dxfId="621" priority="24">
      <formula>H89&lt;0</formula>
    </cfRule>
  </conditionalFormatting>
  <conditionalFormatting sqref="H101">
    <cfRule type="expression" dxfId="620" priority="21">
      <formula>H101&gt;0</formula>
    </cfRule>
    <cfRule type="expression" dxfId="619" priority="22">
      <formula>H101&lt;0</formula>
    </cfRule>
  </conditionalFormatting>
  <conditionalFormatting sqref="F111:F116">
    <cfRule type="expression" dxfId="618" priority="19">
      <formula>F111&gt;0</formula>
    </cfRule>
    <cfRule type="expression" dxfId="617" priority="20">
      <formula>F111&lt;0</formula>
    </cfRule>
  </conditionalFormatting>
  <conditionalFormatting sqref="H103:H116">
    <cfRule type="expression" dxfId="616" priority="17">
      <formula>H103&gt;0</formula>
    </cfRule>
    <cfRule type="expression" dxfId="615" priority="18">
      <formula>H103&lt;0</formula>
    </cfRule>
  </conditionalFormatting>
  <conditionalFormatting sqref="H102">
    <cfRule type="expression" dxfId="614" priority="15">
      <formula>H102&gt;0</formula>
    </cfRule>
    <cfRule type="expression" dxfId="613" priority="16">
      <formula>H102&lt;0</formula>
    </cfRule>
  </conditionalFormatting>
  <conditionalFormatting sqref="M42">
    <cfRule type="expression" dxfId="612" priority="13">
      <formula>M42&gt;0</formula>
    </cfRule>
    <cfRule type="expression" dxfId="611" priority="14">
      <formula>M42&lt;0</formula>
    </cfRule>
  </conditionalFormatting>
  <conditionalFormatting sqref="Q7">
    <cfRule type="expression" dxfId="610" priority="9">
      <formula>Q7&gt;0</formula>
    </cfRule>
    <cfRule type="expression" dxfId="609" priority="10">
      <formula>Q7&lt;0</formula>
    </cfRule>
  </conditionalFormatting>
  <conditionalFormatting sqref="Q8">
    <cfRule type="expression" dxfId="608" priority="7">
      <formula>Q8&gt;0</formula>
    </cfRule>
    <cfRule type="expression" dxfId="607" priority="8">
      <formula>Q8&lt;0</formula>
    </cfRule>
  </conditionalFormatting>
  <conditionalFormatting sqref="F117:F130 H117:H130">
    <cfRule type="expression" dxfId="606" priority="1">
      <formula>F117&gt;0</formula>
    </cfRule>
    <cfRule type="expression" dxfId="605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221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235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43.64</v>
      </c>
      <c r="T3" s="1" t="s">
        <v>236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43.64</v>
      </c>
      <c r="R4" s="493">
        <v>8.9999999999999998E-4</v>
      </c>
      <c r="T4" s="156">
        <v>42633</v>
      </c>
      <c r="U4" s="1" t="s">
        <v>268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322</v>
      </c>
      <c r="U6" t="s">
        <v>451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450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452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206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987</v>
      </c>
      <c r="Q12" s="1" t="s">
        <v>1198</v>
      </c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500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48.004000000000005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47.567600000000006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47.131200000000007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46.694800000000001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46.258400000000002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45.822000000000003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45.385600000000004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44.949200000000005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44.512799999999999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44.0764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43.64</v>
      </c>
      <c r="W39" s="134"/>
    </row>
    <row r="40" spans="1:23" x14ac:dyDescent="0.25">
      <c r="O40" s="81">
        <v>0.99</v>
      </c>
      <c r="P40" s="81">
        <f t="shared" si="0"/>
        <v>43.203600000000002</v>
      </c>
      <c r="W40" s="134"/>
    </row>
    <row r="41" spans="1:23" x14ac:dyDescent="0.25">
      <c r="O41" s="81">
        <v>0.98</v>
      </c>
      <c r="P41" s="81">
        <f t="shared" si="0"/>
        <v>42.767200000000003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42.330799999999996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41.894399999999997</v>
      </c>
      <c r="W43" s="134"/>
    </row>
    <row r="44" spans="1:23" x14ac:dyDescent="0.25">
      <c r="A44" s="687" t="s">
        <v>221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41.457999999999998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41.021599999999999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40.5852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40.148800000000001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39.712400000000002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39.276000000000003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418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622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468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623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542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224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500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280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281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281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306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500</v>
      </c>
    </row>
    <row r="167" spans="1:10" x14ac:dyDescent="0.25">
      <c r="A167" t="s">
        <v>335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335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423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437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442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355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463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666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667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671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700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222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222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04" priority="84">
      <formula>F7&gt;0</formula>
    </cfRule>
    <cfRule type="expression" dxfId="603" priority="85">
      <formula>F7&lt;0</formula>
    </cfRule>
  </conditionalFormatting>
  <conditionalFormatting sqref="Q8">
    <cfRule type="expression" dxfId="602" priority="82">
      <formula>Q8&gt;0</formula>
    </cfRule>
    <cfRule type="expression" dxfId="601" priority="83">
      <formula>Q8&lt;0</formula>
    </cfRule>
  </conditionalFormatting>
  <conditionalFormatting sqref="F29:F36">
    <cfRule type="expression" dxfId="600" priority="62">
      <formula>F29&gt;0</formula>
    </cfRule>
    <cfRule type="expression" dxfId="599" priority="63">
      <formula>F29&lt;0</formula>
    </cfRule>
  </conditionalFormatting>
  <conditionalFormatting sqref="J32:J38">
    <cfRule type="expression" dxfId="598" priority="57">
      <formula>J32&gt;0</formula>
    </cfRule>
    <cfRule type="expression" dxfId="597" priority="58">
      <formula>J32&lt;0</formula>
    </cfRule>
  </conditionalFormatting>
  <conditionalFormatting sqref="M42">
    <cfRule type="expression" dxfId="596" priority="55">
      <formula>M42&gt;0</formula>
    </cfRule>
    <cfRule type="expression" dxfId="595" priority="56">
      <formula>M42&lt;0</formula>
    </cfRule>
  </conditionalFormatting>
  <conditionalFormatting sqref="F98:F134 H98:H134 H137:H142 F137:F142 F144:F153 H144:H153">
    <cfRule type="expression" dxfId="594" priority="53">
      <formula>F98&gt;0</formula>
    </cfRule>
    <cfRule type="expression" dxfId="593" priority="54">
      <formula>F98&lt;0</formula>
    </cfRule>
  </conditionalFormatting>
  <conditionalFormatting sqref="F90:F97">
    <cfRule type="expression" dxfId="592" priority="51">
      <formula>F90&gt;0</formula>
    </cfRule>
    <cfRule type="expression" dxfId="591" priority="52">
      <formula>F90&lt;0</formula>
    </cfRule>
  </conditionalFormatting>
  <conditionalFormatting sqref="H90:H97">
    <cfRule type="expression" dxfId="590" priority="49">
      <formula>H90&gt;0</formula>
    </cfRule>
    <cfRule type="expression" dxfId="589" priority="50">
      <formula>H90&lt;0</formula>
    </cfRule>
  </conditionalFormatting>
  <conditionalFormatting sqref="F135:F136 H135:H136">
    <cfRule type="expression" dxfId="588" priority="47">
      <formula>F135&gt;0</formula>
    </cfRule>
    <cfRule type="expression" dxfId="587" priority="48">
      <formula>F135&lt;0</formula>
    </cfRule>
  </conditionalFormatting>
  <conditionalFormatting sqref="H143 F143">
    <cfRule type="expression" dxfId="586" priority="45">
      <formula>F143&gt;0</formula>
    </cfRule>
    <cfRule type="expression" dxfId="585" priority="46">
      <formula>F143&lt;0</formula>
    </cfRule>
  </conditionalFormatting>
  <conditionalFormatting sqref="F154:F161">
    <cfRule type="expression" dxfId="584" priority="31">
      <formula>F154&gt;0</formula>
    </cfRule>
    <cfRule type="expression" dxfId="583" priority="32">
      <formula>F154&lt;0</formula>
    </cfRule>
  </conditionalFormatting>
  <conditionalFormatting sqref="H154:H161">
    <cfRule type="expression" dxfId="582" priority="29">
      <formula>H154&gt;0</formula>
    </cfRule>
    <cfRule type="expression" dxfId="581" priority="30">
      <formula>H154&lt;0</formula>
    </cfRule>
  </conditionalFormatting>
  <conditionalFormatting sqref="Q10">
    <cfRule type="expression" dxfId="580" priority="27">
      <formula>Q10&gt;0</formula>
    </cfRule>
    <cfRule type="expression" dxfId="579" priority="28">
      <formula>Q10&lt;0</formula>
    </cfRule>
  </conditionalFormatting>
  <conditionalFormatting sqref="F37:F38">
    <cfRule type="expression" dxfId="578" priority="25">
      <formula>F37&gt;0</formula>
    </cfRule>
    <cfRule type="expression" dxfId="577" priority="26">
      <formula>F37&lt;0</formula>
    </cfRule>
  </conditionalFormatting>
  <conditionalFormatting sqref="H37:H38">
    <cfRule type="expression" dxfId="576" priority="23">
      <formula>H37&gt;0</formula>
    </cfRule>
    <cfRule type="expression" dxfId="575" priority="24">
      <formula>H37&lt;0</formula>
    </cfRule>
  </conditionalFormatting>
  <conditionalFormatting sqref="F167">
    <cfRule type="expression" dxfId="574" priority="21">
      <formula>F167&gt;0</formula>
    </cfRule>
    <cfRule type="expression" dxfId="573" priority="22">
      <formula>F167&lt;0</formula>
    </cfRule>
  </conditionalFormatting>
  <conditionalFormatting sqref="F168:F179">
    <cfRule type="expression" dxfId="572" priority="19">
      <formula>F168&gt;0</formula>
    </cfRule>
    <cfRule type="expression" dxfId="571" priority="20">
      <formula>F168&lt;0</formula>
    </cfRule>
  </conditionalFormatting>
  <conditionalFormatting sqref="H167:H179">
    <cfRule type="expression" dxfId="570" priority="17">
      <formula>H167&gt;0</formula>
    </cfRule>
    <cfRule type="expression" dxfId="569" priority="18">
      <formula>H167&lt;0</formula>
    </cfRule>
  </conditionalFormatting>
  <conditionalFormatting sqref="J175:J197 J201">
    <cfRule type="expression" dxfId="568" priority="15">
      <formula>J175&gt;0</formula>
    </cfRule>
    <cfRule type="expression" dxfId="567" priority="16">
      <formula>J175&lt;0</formula>
    </cfRule>
  </conditionalFormatting>
  <conditionalFormatting sqref="F180:F197 F201">
    <cfRule type="expression" dxfId="566" priority="13">
      <formula>F180&gt;0</formula>
    </cfRule>
    <cfRule type="expression" dxfId="565" priority="14">
      <formula>F180&lt;0</formula>
    </cfRule>
  </conditionalFormatting>
  <conditionalFormatting sqref="H180:H197 H201">
    <cfRule type="expression" dxfId="564" priority="11">
      <formula>H180&gt;0</formula>
    </cfRule>
    <cfRule type="expression" dxfId="563" priority="12">
      <formula>H180&lt;0</formula>
    </cfRule>
  </conditionalFormatting>
  <conditionalFormatting sqref="I32:J35">
    <cfRule type="expression" dxfId="562" priority="9">
      <formula>I32&gt;0</formula>
    </cfRule>
    <cfRule type="expression" dxfId="561" priority="10">
      <formula>I32&lt;0</formula>
    </cfRule>
  </conditionalFormatting>
  <conditionalFormatting sqref="F198:F200">
    <cfRule type="expression" dxfId="560" priority="7">
      <formula>F198&gt;0</formula>
    </cfRule>
    <cfRule type="expression" dxfId="559" priority="8">
      <formula>F198&lt;0</formula>
    </cfRule>
  </conditionalFormatting>
  <conditionalFormatting sqref="H198:H200">
    <cfRule type="expression" dxfId="558" priority="5">
      <formula>H198&gt;0</formula>
    </cfRule>
    <cfRule type="expression" dxfId="557" priority="6">
      <formula>H198&lt;0</formula>
    </cfRule>
  </conditionalFormatting>
  <conditionalFormatting sqref="J198:J200">
    <cfRule type="expression" dxfId="556" priority="3">
      <formula>J198&gt;0</formula>
    </cfRule>
    <cfRule type="expression" dxfId="555" priority="4">
      <formula>J198&lt;0</formula>
    </cfRule>
  </conditionalFormatting>
  <conditionalFormatting sqref="F202:F211 H202:H211 J202:J211">
    <cfRule type="expression" dxfId="554" priority="1">
      <formula>F202&gt;0</formula>
    </cfRule>
    <cfRule type="expression" dxfId="553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337</v>
      </c>
      <c r="B2" s="820">
        <v>43165</v>
      </c>
      <c r="C2" s="818">
        <v>50</v>
      </c>
      <c r="D2" s="819">
        <v>70.28</v>
      </c>
      <c r="E2" s="819">
        <v>0</v>
      </c>
      <c r="F2" s="819">
        <f>C2*D2+E2</f>
        <v>3514</v>
      </c>
      <c r="G2" s="820">
        <v>43217</v>
      </c>
      <c r="H2" s="818">
        <v>50</v>
      </c>
      <c r="I2" s="819">
        <v>72.88</v>
      </c>
      <c r="J2" s="819">
        <v>0.08</v>
      </c>
      <c r="K2" s="819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78.3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78.3</v>
      </c>
      <c r="R4" s="493">
        <v>6.8999999999999999E-3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207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206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938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965</v>
      </c>
      <c r="Q13">
        <f>Q4/5.25</f>
        <v>14.914285714285715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681</v>
      </c>
      <c r="Q15" s="679" t="s">
        <v>682</v>
      </c>
      <c r="R15" s="677" t="s">
        <v>675</v>
      </c>
      <c r="S15" s="677" t="s">
        <v>676</v>
      </c>
      <c r="T15" s="679" t="s">
        <v>678</v>
      </c>
      <c r="U15" s="679" t="s">
        <v>679</v>
      </c>
      <c r="V15" s="677" t="s">
        <v>677</v>
      </c>
      <c r="W15" s="678" t="s">
        <v>680</v>
      </c>
    </row>
    <row r="16" spans="1:23" x14ac:dyDescent="0.25">
      <c r="G16" s="29"/>
      <c r="H16" s="70"/>
      <c r="O16" s="680">
        <v>42963</v>
      </c>
      <c r="P16" s="676" t="s">
        <v>683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685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57" t="s">
        <v>78</v>
      </c>
      <c r="P40" s="857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86.13000000000001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85.347000000000008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84.564000000000007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83.781000000000006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82.998000000000005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82.215000000000003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81.432000000000002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80.649000000000001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79.866</v>
      </c>
      <c r="Q49" s="2"/>
      <c r="T49" s="91" t="s">
        <v>103</v>
      </c>
      <c r="U49" s="127" t="s">
        <v>476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79.082999999999998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78.3</v>
      </c>
      <c r="Q51" s="2"/>
      <c r="T51" s="91" t="s">
        <v>104</v>
      </c>
      <c r="U51" s="127" t="s">
        <v>624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77.516999999999996</v>
      </c>
      <c r="Q52" s="2"/>
      <c r="T52" s="91" t="s">
        <v>105</v>
      </c>
      <c r="U52" s="127" t="s">
        <v>625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76.733999999999995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75.950999999999993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75.167999999999992</v>
      </c>
      <c r="T55" s="91" t="s">
        <v>107</v>
      </c>
      <c r="U55" s="127" t="s">
        <v>626</v>
      </c>
    </row>
    <row r="56" spans="1:21" x14ac:dyDescent="0.25">
      <c r="O56" s="81">
        <v>0.95</v>
      </c>
      <c r="P56" s="81">
        <f t="shared" si="0"/>
        <v>74.384999999999991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73.60199999999999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72.819000000000003</v>
      </c>
      <c r="T58" s="91" t="s">
        <v>108</v>
      </c>
      <c r="U58" s="127" t="s">
        <v>543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72.036000000000001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71.253</v>
      </c>
    </row>
    <row r="61" spans="1:21" x14ac:dyDescent="0.25">
      <c r="A61" s="371" t="s">
        <v>337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70.47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445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445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470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52" priority="80">
      <formula>Q7&gt;0</formula>
    </cfRule>
    <cfRule type="expression" dxfId="551" priority="81">
      <formula>Q7&lt;0</formula>
    </cfRule>
  </conditionalFormatting>
  <conditionalFormatting sqref="Q8">
    <cfRule type="expression" dxfId="550" priority="78">
      <formula>Q8&gt;0</formula>
    </cfRule>
    <cfRule type="expression" dxfId="549" priority="79">
      <formula>Q8&lt;0</formula>
    </cfRule>
  </conditionalFormatting>
  <conditionalFormatting sqref="F29:F43">
    <cfRule type="expression" dxfId="548" priority="62">
      <formula>F29&gt;0</formula>
    </cfRule>
    <cfRule type="expression" dxfId="547" priority="63">
      <formula>F29&lt;0</formula>
    </cfRule>
  </conditionalFormatting>
  <conditionalFormatting sqref="H45 H47:H48 H50:H51 H53 H29:H43">
    <cfRule type="expression" dxfId="546" priority="60">
      <formula>H29&gt;0</formula>
    </cfRule>
    <cfRule type="expression" dxfId="545" priority="61">
      <formula>H29&lt;0</formula>
    </cfRule>
  </conditionalFormatting>
  <conditionalFormatting sqref="J35">
    <cfRule type="expression" dxfId="544" priority="56">
      <formula>J35&gt;0</formula>
    </cfRule>
    <cfRule type="expression" dxfId="543" priority="57">
      <formula>J35&lt;0</formula>
    </cfRule>
  </conditionalFormatting>
  <conditionalFormatting sqref="J36:J37">
    <cfRule type="expression" dxfId="542" priority="54">
      <formula>J36&gt;0</formula>
    </cfRule>
    <cfRule type="expression" dxfId="541" priority="55">
      <formula>J36&lt;0</formula>
    </cfRule>
  </conditionalFormatting>
  <conditionalFormatting sqref="J38:J45 J48 J51">
    <cfRule type="expression" dxfId="540" priority="52">
      <formula>J38&gt;0</formula>
    </cfRule>
    <cfRule type="expression" dxfId="539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38" priority="49">
      <formula>M59&gt;0</formula>
    </cfRule>
    <cfRule type="expression" dxfId="537" priority="50">
      <formula>M59&lt;0</formula>
    </cfRule>
  </conditionalFormatting>
  <conditionalFormatting sqref="Q10">
    <cfRule type="expression" dxfId="536" priority="47">
      <formula>Q10&gt;0</formula>
    </cfRule>
    <cfRule type="expression" dxfId="535" priority="48">
      <formula>Q10&lt;0</formula>
    </cfRule>
  </conditionalFormatting>
  <conditionalFormatting sqref="F84:F103">
    <cfRule type="expression" dxfId="534" priority="45">
      <formula>F84&gt;0</formula>
    </cfRule>
    <cfRule type="expression" dxfId="533" priority="46">
      <formula>F84&lt;0</formula>
    </cfRule>
  </conditionalFormatting>
  <conditionalFormatting sqref="H107 H84:H103">
    <cfRule type="expression" dxfId="532" priority="43">
      <formula>H84&gt;0</formula>
    </cfRule>
    <cfRule type="expression" dxfId="531" priority="44">
      <formula>H84&lt;0</formula>
    </cfRule>
  </conditionalFormatting>
  <conditionalFormatting sqref="J89">
    <cfRule type="expression" dxfId="530" priority="41">
      <formula>J89&gt;0</formula>
    </cfRule>
    <cfRule type="expression" dxfId="529" priority="42">
      <formula>J89&lt;0</formula>
    </cfRule>
  </conditionalFormatting>
  <conditionalFormatting sqref="J90:J95">
    <cfRule type="expression" dxfId="528" priority="39">
      <formula>J90&gt;0</formula>
    </cfRule>
    <cfRule type="expression" dxfId="527" priority="40">
      <formula>J90&lt;0</formula>
    </cfRule>
  </conditionalFormatting>
  <conditionalFormatting sqref="J96:J97">
    <cfRule type="expression" dxfId="526" priority="37">
      <formula>J96&gt;0</formula>
    </cfRule>
    <cfRule type="expression" dxfId="525" priority="38">
      <formula>J96&lt;0</formula>
    </cfRule>
  </conditionalFormatting>
  <conditionalFormatting sqref="J98:J104">
    <cfRule type="expression" dxfId="524" priority="35">
      <formula>J98&gt;0</formula>
    </cfRule>
    <cfRule type="expression" dxfId="523" priority="36">
      <formula>J98&lt;0</formula>
    </cfRule>
  </conditionalFormatting>
  <conditionalFormatting sqref="J25">
    <cfRule type="expression" dxfId="522" priority="31">
      <formula>J25&gt;0</formula>
    </cfRule>
    <cfRule type="expression" dxfId="521" priority="32">
      <formula>J25&lt;0</formula>
    </cfRule>
  </conditionalFormatting>
  <conditionalFormatting sqref="F105:F106">
    <cfRule type="expression" dxfId="520" priority="29">
      <formula>F105&gt;0</formula>
    </cfRule>
    <cfRule type="expression" dxfId="519" priority="30">
      <formula>F105&lt;0</formula>
    </cfRule>
  </conditionalFormatting>
  <conditionalFormatting sqref="H105:H106">
    <cfRule type="expression" dxfId="518" priority="27">
      <formula>H105&gt;0</formula>
    </cfRule>
    <cfRule type="expression" dxfId="517" priority="28">
      <formula>H105&lt;0</formula>
    </cfRule>
  </conditionalFormatting>
  <conditionalFormatting sqref="J105">
    <cfRule type="expression" dxfId="516" priority="25">
      <formula>J105&gt;0</formula>
    </cfRule>
    <cfRule type="expression" dxfId="515" priority="26">
      <formula>J105&lt;0</formula>
    </cfRule>
  </conditionalFormatting>
  <conditionalFormatting sqref="J106">
    <cfRule type="expression" dxfId="514" priority="23">
      <formula>J106&gt;0</formula>
    </cfRule>
    <cfRule type="expression" dxfId="513" priority="24">
      <formula>J106&lt;0</formula>
    </cfRule>
  </conditionalFormatting>
  <conditionalFormatting sqref="F24 F27:F28">
    <cfRule type="expression" dxfId="512" priority="21">
      <formula>F24&gt;0</formula>
    </cfRule>
    <cfRule type="expression" dxfId="511" priority="22">
      <formula>F24&lt;0</formula>
    </cfRule>
  </conditionalFormatting>
  <conditionalFormatting sqref="H24:H28">
    <cfRule type="expression" dxfId="510" priority="19">
      <formula>H24&gt;0</formula>
    </cfRule>
    <cfRule type="expression" dxfId="509" priority="20">
      <formula>H24&lt;0</formula>
    </cfRule>
  </conditionalFormatting>
  <conditionalFormatting sqref="J26:J34">
    <cfRule type="expression" dxfId="508" priority="17">
      <formula>J26&gt;0</formula>
    </cfRule>
    <cfRule type="expression" dxfId="507" priority="18">
      <formula>J26&lt;0</formula>
    </cfRule>
  </conditionalFormatting>
  <conditionalFormatting sqref="F113">
    <cfRule type="expression" dxfId="506" priority="15">
      <formula>F113&gt;0</formula>
    </cfRule>
    <cfRule type="expression" dxfId="505" priority="16">
      <formula>F113&lt;0</formula>
    </cfRule>
  </conditionalFormatting>
  <conditionalFormatting sqref="H113">
    <cfRule type="expression" dxfId="504" priority="13">
      <formula>H113&gt;0</formula>
    </cfRule>
    <cfRule type="expression" dxfId="503" priority="14">
      <formula>H113&lt;0</formula>
    </cfRule>
  </conditionalFormatting>
  <conditionalFormatting sqref="J109">
    <cfRule type="expression" dxfId="502" priority="11">
      <formula>J109&gt;0</formula>
    </cfRule>
    <cfRule type="expression" dxfId="501" priority="12">
      <formula>J109&lt;0</formula>
    </cfRule>
  </conditionalFormatting>
  <conditionalFormatting sqref="F108:F112">
    <cfRule type="expression" dxfId="500" priority="9">
      <formula>F108&gt;0</formula>
    </cfRule>
    <cfRule type="expression" dxfId="499" priority="10">
      <formula>F108&lt;0</formula>
    </cfRule>
  </conditionalFormatting>
  <conditionalFormatting sqref="H108:H112">
    <cfRule type="expression" dxfId="498" priority="7">
      <formula>H108&gt;0</formula>
    </cfRule>
    <cfRule type="expression" dxfId="497" priority="8">
      <formula>H108&lt;0</formula>
    </cfRule>
  </conditionalFormatting>
  <conditionalFormatting sqref="J110:J113">
    <cfRule type="expression" dxfId="496" priority="5">
      <formula>J110&gt;0</formula>
    </cfRule>
    <cfRule type="expression" dxfId="495" priority="6">
      <formula>J110&lt;0</formula>
    </cfRule>
  </conditionalFormatting>
  <conditionalFormatting sqref="F25:F26">
    <cfRule type="expression" dxfId="494" priority="3">
      <formula>F25&gt;0</formula>
    </cfRule>
    <cfRule type="expression" dxfId="493" priority="4">
      <formula>F25&lt;0</formula>
    </cfRule>
  </conditionalFormatting>
  <conditionalFormatting sqref="Q9">
    <cfRule type="expression" dxfId="492" priority="1">
      <formula>Q9&gt;0</formula>
    </cfRule>
    <cfRule type="expression" dxfId="491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1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4" si="0">H2*I2-J2</f>
        <v>3757.1099999999997</v>
      </c>
      <c r="L2" s="72">
        <v>43087</v>
      </c>
      <c r="M2" s="43">
        <v>115</v>
      </c>
      <c r="O2" s="11" t="s">
        <v>57</v>
      </c>
      <c r="Q2" s="70">
        <f>C29-H29</f>
        <v>380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221">
        <f>IF(Q2=0, Q4, (F29-K29-M29)/Q2)</f>
        <v>32.78063157894735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92">
        <v>26.04</v>
      </c>
      <c r="R4" s="223">
        <v>-5.7000000000000002E-3</v>
      </c>
      <c r="T4" s="1">
        <v>43096</v>
      </c>
      <c r="U4" t="s">
        <v>777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4"/>
      <c r="M5" s="4"/>
      <c r="O5" s="11" t="s">
        <v>67</v>
      </c>
      <c r="Q5" s="3">
        <f>Q4*Q2</f>
        <v>9895.1999999999989</v>
      </c>
      <c r="U5" t="s">
        <v>778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/>
      <c r="M6" s="4"/>
      <c r="O6" s="11" t="s">
        <v>64</v>
      </c>
      <c r="Q6" s="2">
        <f>Q3*Q2</f>
        <v>12456.639999999992</v>
      </c>
      <c r="U6" t="s">
        <v>779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178</v>
      </c>
      <c r="Q7" s="2">
        <f>Q10+Q8</f>
        <v>-2486.4199999999933</v>
      </c>
      <c r="R7">
        <v>160</v>
      </c>
      <c r="U7" t="s">
        <v>780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180</v>
      </c>
      <c r="P8" s="33"/>
      <c r="Q8" s="2">
        <f>K29+M29-F29+Q2*Q4</f>
        <v>-2561.4399999999932</v>
      </c>
      <c r="U8" t="s">
        <v>781</v>
      </c>
    </row>
    <row r="9" spans="1:29" x14ac:dyDescent="0.25">
      <c r="B9" s="434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207</v>
      </c>
      <c r="Q9" s="134">
        <f>IF(Q2=0, 0, Q8/Q6)</f>
        <v>-0.2056284840855957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206</v>
      </c>
      <c r="P10" s="33"/>
      <c r="Q10" s="2">
        <f>M81</f>
        <v>75.019999999999982</v>
      </c>
      <c r="T10" s="1">
        <v>43103</v>
      </c>
      <c r="U10" t="s">
        <v>828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176</v>
      </c>
      <c r="P11" s="33"/>
      <c r="Q11" s="134">
        <f>R11*4/Q4</f>
        <v>3.5330261136712754E-2</v>
      </c>
      <c r="R11">
        <f>0.23</f>
        <v>0.23</v>
      </c>
      <c r="U11" t="s">
        <v>829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21" si="2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938</v>
      </c>
      <c r="Q12" s="1" t="s">
        <v>1217</v>
      </c>
      <c r="T12" s="1">
        <v>43110</v>
      </c>
      <c r="U12" t="s">
        <v>857</v>
      </c>
    </row>
    <row r="13" spans="1:29" x14ac:dyDescent="0.25">
      <c r="B13" s="72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434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965</v>
      </c>
      <c r="Q13">
        <f>Q4/2.67</f>
        <v>9.7528089887640448</v>
      </c>
      <c r="T13" s="1">
        <v>43112</v>
      </c>
      <c r="U13" t="s">
        <v>853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434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U14" t="s">
        <v>854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U15" s="475" t="s">
        <v>856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</row>
    <row r="17" spans="1:21" x14ac:dyDescent="0.25">
      <c r="B17" s="434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T17" s="1">
        <v>43120</v>
      </c>
      <c r="U17" t="s">
        <v>892</v>
      </c>
    </row>
    <row r="18" spans="1:21" ht="20.25" thickBot="1" x14ac:dyDescent="0.35">
      <c r="B18" s="72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O18" s="236" t="s">
        <v>78</v>
      </c>
      <c r="P18" s="236"/>
    </row>
    <row r="19" spans="1:21" ht="15.75" thickTop="1" x14ac:dyDescent="0.25">
      <c r="B19" s="434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O19" s="81">
        <v>1.1000000000000001</v>
      </c>
      <c r="P19" s="81">
        <f>O19*$Q$4</f>
        <v>28.644000000000002</v>
      </c>
      <c r="T19" s="1">
        <v>43125</v>
      </c>
      <c r="U19" t="s">
        <v>906</v>
      </c>
    </row>
    <row r="20" spans="1:21" x14ac:dyDescent="0.25">
      <c r="B20" s="474">
        <v>43301</v>
      </c>
      <c r="C20" s="4">
        <v>100</v>
      </c>
      <c r="D20" s="3">
        <v>26.28</v>
      </c>
      <c r="E20" s="3">
        <v>0</v>
      </c>
      <c r="F20" s="3">
        <f t="shared" si="2"/>
        <v>2628</v>
      </c>
      <c r="O20" s="81">
        <v>1.0900000000000001</v>
      </c>
      <c r="P20" s="81">
        <f t="shared" ref="P20:P39" si="3">O20*$Q$4</f>
        <v>28.383600000000001</v>
      </c>
      <c r="T20" s="1">
        <v>43126</v>
      </c>
      <c r="U20" t="s">
        <v>904</v>
      </c>
    </row>
    <row r="21" spans="1:21" x14ac:dyDescent="0.25">
      <c r="B21" s="474">
        <v>43306</v>
      </c>
      <c r="C21" s="7">
        <v>120</v>
      </c>
      <c r="D21" s="43">
        <v>25.67</v>
      </c>
      <c r="E21" s="43">
        <v>0</v>
      </c>
      <c r="F21" s="43">
        <f t="shared" si="2"/>
        <v>3080.4</v>
      </c>
      <c r="O21" s="81">
        <v>1.08</v>
      </c>
      <c r="P21" s="81">
        <f t="shared" si="3"/>
        <v>28.123200000000001</v>
      </c>
      <c r="U21" t="s">
        <v>905</v>
      </c>
    </row>
    <row r="22" spans="1:21" x14ac:dyDescent="0.25">
      <c r="C22" s="4"/>
      <c r="D22" s="3"/>
      <c r="E22" s="3"/>
      <c r="F22" s="3"/>
      <c r="O22" s="81">
        <v>1.07</v>
      </c>
      <c r="P22" s="81">
        <f t="shared" si="3"/>
        <v>27.8628</v>
      </c>
    </row>
    <row r="23" spans="1:21" x14ac:dyDescent="0.25">
      <c r="C23" s="4"/>
      <c r="D23" s="3"/>
      <c r="E23" s="3"/>
      <c r="F23" s="3"/>
      <c r="O23" s="81">
        <v>1.06</v>
      </c>
      <c r="P23" s="81">
        <f t="shared" si="3"/>
        <v>27.602399999999999</v>
      </c>
      <c r="T23" s="1">
        <v>43128</v>
      </c>
      <c r="U23" t="s">
        <v>907</v>
      </c>
    </row>
    <row r="24" spans="1:21" x14ac:dyDescent="0.25">
      <c r="O24" s="81">
        <v>1.05</v>
      </c>
      <c r="P24" s="81">
        <f t="shared" si="3"/>
        <v>27.341999999999999</v>
      </c>
    </row>
    <row r="25" spans="1:21" x14ac:dyDescent="0.25">
      <c r="C25" s="4"/>
      <c r="D25" s="3"/>
      <c r="E25" s="3"/>
      <c r="F25" s="3"/>
      <c r="O25" s="81">
        <v>1.04</v>
      </c>
      <c r="P25" s="81">
        <f t="shared" si="3"/>
        <v>27.081600000000002</v>
      </c>
    </row>
    <row r="26" spans="1:21" x14ac:dyDescent="0.25">
      <c r="O26" s="81">
        <v>1.03</v>
      </c>
      <c r="P26" s="81">
        <f t="shared" si="3"/>
        <v>26.821200000000001</v>
      </c>
    </row>
    <row r="27" spans="1:21" x14ac:dyDescent="0.25">
      <c r="C27" s="4"/>
      <c r="D27" s="3"/>
      <c r="E27" s="3"/>
      <c r="F27" s="3"/>
      <c r="O27" s="81">
        <v>1.02</v>
      </c>
      <c r="P27" s="81">
        <f t="shared" si="3"/>
        <v>26.5608</v>
      </c>
    </row>
    <row r="28" spans="1:21" x14ac:dyDescent="0.25">
      <c r="O28" s="81">
        <v>1.01</v>
      </c>
      <c r="P28" s="81">
        <f t="shared" si="3"/>
        <v>26.3004</v>
      </c>
      <c r="T28" s="770">
        <v>43136</v>
      </c>
      <c r="U28" t="s">
        <v>855</v>
      </c>
    </row>
    <row r="29" spans="1:21" x14ac:dyDescent="0.25">
      <c r="A29" s="35" t="s">
        <v>81</v>
      </c>
      <c r="B29" s="36"/>
      <c r="C29" s="36">
        <f>SUM(C2:C28)</f>
        <v>1720</v>
      </c>
      <c r="D29" s="37"/>
      <c r="E29" s="37"/>
      <c r="F29" s="37">
        <f>SUM(F2:F28)</f>
        <v>50067.099999999991</v>
      </c>
      <c r="G29" s="36"/>
      <c r="H29" s="175">
        <f>SUM(H2:H28)</f>
        <v>1340</v>
      </c>
      <c r="I29" s="37"/>
      <c r="J29" s="37"/>
      <c r="K29" s="37">
        <f>SUM(K2:K28)</f>
        <v>37316.06</v>
      </c>
      <c r="L29" s="37"/>
      <c r="M29" s="37">
        <f>SUM(M2:M28)</f>
        <v>294.39999999999998</v>
      </c>
      <c r="O29" s="81">
        <v>1</v>
      </c>
      <c r="P29" s="81">
        <f t="shared" si="3"/>
        <v>26.04</v>
      </c>
    </row>
    <row r="30" spans="1:21" ht="15.75" thickBot="1" x14ac:dyDescent="0.3">
      <c r="A30" s="341" t="s">
        <v>193</v>
      </c>
      <c r="B30" s="342"/>
      <c r="C30" s="343">
        <f>SumByColor($A$30,C2:C28)</f>
        <v>1340</v>
      </c>
      <c r="D30" s="343"/>
      <c r="E30" s="343"/>
      <c r="F30" s="344">
        <f>SumByColor($A$30,F2:F29)</f>
        <v>36637</v>
      </c>
      <c r="G30" s="343"/>
      <c r="H30" s="343">
        <f>SumByColor($A$30,H2:H28)</f>
        <v>1340</v>
      </c>
      <c r="I30" s="343"/>
      <c r="J30" s="343"/>
      <c r="K30" s="344">
        <f>SumByColor($A$30,K2:K28)</f>
        <v>37317</v>
      </c>
      <c r="L30" s="343"/>
      <c r="M30" s="344">
        <f>SumByColor($A$30,M2:M28)</f>
        <v>294</v>
      </c>
      <c r="O30" s="81">
        <v>0.99</v>
      </c>
      <c r="P30" s="81">
        <f t="shared" si="3"/>
        <v>25.779599999999999</v>
      </c>
      <c r="T30" s="1">
        <v>43175</v>
      </c>
      <c r="U30" t="s">
        <v>1109</v>
      </c>
    </row>
    <row r="31" spans="1:21" x14ac:dyDescent="0.25">
      <c r="O31" s="81">
        <v>0.98</v>
      </c>
      <c r="P31" s="81">
        <f t="shared" si="3"/>
        <v>25.519199999999998</v>
      </c>
      <c r="T31" s="1">
        <v>43178</v>
      </c>
      <c r="U31" t="s">
        <v>953</v>
      </c>
    </row>
    <row r="32" spans="1:21" x14ac:dyDescent="0.25">
      <c r="B32" s="182" t="s">
        <v>113</v>
      </c>
      <c r="C32" s="182" t="s">
        <v>146</v>
      </c>
      <c r="D32" s="183" t="s">
        <v>145</v>
      </c>
      <c r="E32" s="185" t="s">
        <v>147</v>
      </c>
      <c r="F32" s="186" t="s">
        <v>65</v>
      </c>
      <c r="G32" s="220" t="s">
        <v>151</v>
      </c>
      <c r="H32" s="186" t="s">
        <v>88</v>
      </c>
      <c r="I32" s="186" t="s">
        <v>154</v>
      </c>
      <c r="J32" s="186" t="s">
        <v>494</v>
      </c>
      <c r="K32" s="186" t="s">
        <v>150</v>
      </c>
      <c r="L32" s="186" t="s">
        <v>965</v>
      </c>
      <c r="O32" s="81">
        <v>0.97</v>
      </c>
      <c r="P32" s="81">
        <f t="shared" si="3"/>
        <v>25.258799999999997</v>
      </c>
    </row>
    <row r="33" spans="1:21" x14ac:dyDescent="0.25">
      <c r="B33" s="184">
        <v>42985</v>
      </c>
      <c r="C33" s="10">
        <v>50</v>
      </c>
      <c r="D33" s="39">
        <v>44.98</v>
      </c>
      <c r="E33" s="39">
        <v>44.76</v>
      </c>
      <c r="F33" s="39">
        <f t="shared" ref="F33:F47" si="4">C33*(E33-D33)</f>
        <v>-10.999999999999943</v>
      </c>
      <c r="G33" s="39">
        <f t="shared" ref="G33:G47" si="5">D33*C33</f>
        <v>2249</v>
      </c>
      <c r="H33" s="222">
        <f t="shared" ref="H33:H47" si="6">(E33-D33)/D33</f>
        <v>-4.891062694530878E-3</v>
      </c>
      <c r="I33" s="222"/>
      <c r="J33" s="222"/>
      <c r="K33" s="222"/>
      <c r="L33" s="222"/>
      <c r="O33" s="81">
        <v>0.96</v>
      </c>
      <c r="P33" s="81">
        <f t="shared" si="3"/>
        <v>24.998399999999997</v>
      </c>
      <c r="T33" s="1">
        <v>43217</v>
      </c>
      <c r="U33" t="s">
        <v>1026</v>
      </c>
    </row>
    <row r="34" spans="1:21" x14ac:dyDescent="0.25">
      <c r="B34" s="184">
        <v>42994</v>
      </c>
      <c r="C34" s="10">
        <v>110</v>
      </c>
      <c r="D34" s="39">
        <v>43.796399999999998</v>
      </c>
      <c r="E34" s="39">
        <v>43.2</v>
      </c>
      <c r="F34" s="39">
        <f t="shared" si="4"/>
        <v>-65.603999999999516</v>
      </c>
      <c r="G34" s="39">
        <f t="shared" si="5"/>
        <v>4817.6040000000003</v>
      </c>
      <c r="H34" s="222">
        <f t="shared" si="6"/>
        <v>-1.3617557607474486E-2</v>
      </c>
      <c r="I34" s="222"/>
      <c r="J34" s="222"/>
      <c r="K34" s="222"/>
      <c r="L34" s="222"/>
      <c r="O34" s="81">
        <v>0.95</v>
      </c>
      <c r="P34" s="81">
        <f t="shared" si="3"/>
        <v>24.738</v>
      </c>
    </row>
    <row r="35" spans="1:21" x14ac:dyDescent="0.25">
      <c r="B35" s="184">
        <v>42999</v>
      </c>
      <c r="C35" s="10">
        <v>110</v>
      </c>
      <c r="D35" s="39">
        <v>43.796399999999998</v>
      </c>
      <c r="E35" s="39">
        <v>41.48</v>
      </c>
      <c r="F35" s="39">
        <f t="shared" si="4"/>
        <v>-254.80400000000017</v>
      </c>
      <c r="G35" s="39">
        <f t="shared" si="5"/>
        <v>4817.6040000000003</v>
      </c>
      <c r="H35" s="222">
        <f t="shared" si="6"/>
        <v>-5.2890191887917763E-2</v>
      </c>
      <c r="I35" s="222"/>
      <c r="J35" s="222"/>
      <c r="K35" s="222"/>
      <c r="L35" s="222"/>
      <c r="O35" s="81">
        <v>0.94</v>
      </c>
      <c r="P35" s="81">
        <f t="shared" si="3"/>
        <v>24.477599999999999</v>
      </c>
      <c r="T35" s="1">
        <v>43224</v>
      </c>
      <c r="U35" t="s">
        <v>82</v>
      </c>
    </row>
    <row r="36" spans="1:21" x14ac:dyDescent="0.25">
      <c r="B36" s="184">
        <v>43028</v>
      </c>
      <c r="C36" s="10">
        <v>180</v>
      </c>
      <c r="D36" s="39">
        <v>42.494999999999997</v>
      </c>
      <c r="E36" s="39">
        <v>40.369999999999997</v>
      </c>
      <c r="F36" s="39">
        <f t="shared" si="4"/>
        <v>-382.5</v>
      </c>
      <c r="G36" s="39">
        <f t="shared" si="5"/>
        <v>7649.0999999999995</v>
      </c>
      <c r="H36" s="222">
        <f t="shared" si="6"/>
        <v>-5.0005883045064127E-2</v>
      </c>
      <c r="I36" s="222"/>
      <c r="J36" s="222"/>
      <c r="K36" s="222"/>
      <c r="L36" s="222"/>
      <c r="O36" s="81">
        <v>0.93</v>
      </c>
      <c r="P36" s="81">
        <f t="shared" si="3"/>
        <v>24.217200000000002</v>
      </c>
    </row>
    <row r="37" spans="1:21" x14ac:dyDescent="0.25">
      <c r="B37" s="184">
        <v>43042</v>
      </c>
      <c r="C37" s="7">
        <v>280</v>
      </c>
      <c r="D37" s="43">
        <v>39.311100000000003</v>
      </c>
      <c r="E37" s="39">
        <v>30.77</v>
      </c>
      <c r="F37" s="39">
        <f t="shared" si="4"/>
        <v>-2391.5080000000012</v>
      </c>
      <c r="G37" s="39">
        <f t="shared" si="5"/>
        <v>11007.108</v>
      </c>
      <c r="H37" s="223">
        <f t="shared" si="6"/>
        <v>-0.21726942263126708</v>
      </c>
      <c r="I37" s="223"/>
      <c r="J37" s="223"/>
      <c r="K37" s="223"/>
      <c r="L37" s="223"/>
      <c r="O37" s="81">
        <v>0.92</v>
      </c>
      <c r="P37" s="81">
        <f t="shared" si="3"/>
        <v>23.956800000000001</v>
      </c>
    </row>
    <row r="38" spans="1:21" x14ac:dyDescent="0.25">
      <c r="B38" s="184">
        <v>43045</v>
      </c>
      <c r="C38" s="10">
        <v>500</v>
      </c>
      <c r="D38" s="39">
        <v>35.243400000000001</v>
      </c>
      <c r="E38" s="39">
        <v>30.82</v>
      </c>
      <c r="F38" s="39">
        <f t="shared" si="4"/>
        <v>-2211.7000000000003</v>
      </c>
      <c r="G38" s="39">
        <f t="shared" si="5"/>
        <v>17621.7</v>
      </c>
      <c r="H38" s="223">
        <f t="shared" si="6"/>
        <v>-0.12551002457197663</v>
      </c>
      <c r="I38" s="223"/>
      <c r="J38" s="223"/>
      <c r="K38" s="223"/>
      <c r="L38" s="223"/>
      <c r="O38" s="81">
        <v>0.91</v>
      </c>
      <c r="P38" s="81">
        <f t="shared" si="3"/>
        <v>23.696400000000001</v>
      </c>
    </row>
    <row r="39" spans="1:21" x14ac:dyDescent="0.25">
      <c r="B39" s="184">
        <v>43047</v>
      </c>
      <c r="C39" s="10">
        <v>380</v>
      </c>
      <c r="D39" s="39">
        <v>36.485799999999998</v>
      </c>
      <c r="E39" s="39">
        <v>31.31</v>
      </c>
      <c r="F39" s="39">
        <f t="shared" si="4"/>
        <v>-1966.8039999999996</v>
      </c>
      <c r="G39" s="39">
        <f t="shared" si="5"/>
        <v>13864.603999999999</v>
      </c>
      <c r="H39" s="223">
        <f t="shared" si="6"/>
        <v>-0.14185792828991003</v>
      </c>
      <c r="I39" s="223"/>
      <c r="J39" s="223"/>
      <c r="K39" s="223"/>
      <c r="L39" s="223"/>
      <c r="O39" s="81">
        <v>0.9</v>
      </c>
      <c r="P39" s="81">
        <f t="shared" si="3"/>
        <v>23.436</v>
      </c>
      <c r="T39" s="156">
        <v>43314</v>
      </c>
      <c r="U39" t="s">
        <v>82</v>
      </c>
    </row>
    <row r="40" spans="1:21" x14ac:dyDescent="0.25">
      <c r="B40" s="184">
        <v>43048</v>
      </c>
      <c r="C40" s="10">
        <v>500</v>
      </c>
      <c r="D40" s="39">
        <v>35.020400000000002</v>
      </c>
      <c r="E40" s="39">
        <v>30.1</v>
      </c>
      <c r="F40" s="39">
        <f t="shared" si="4"/>
        <v>-2460.2000000000003</v>
      </c>
      <c r="G40" s="39">
        <f t="shared" si="5"/>
        <v>17510.2</v>
      </c>
      <c r="H40" s="223">
        <f t="shared" si="6"/>
        <v>-0.14050096515174015</v>
      </c>
      <c r="I40" s="39">
        <v>34.5</v>
      </c>
      <c r="J40" s="39"/>
      <c r="K40" s="39"/>
      <c r="L40" s="39"/>
    </row>
    <row r="41" spans="1:21" x14ac:dyDescent="0.25">
      <c r="B41" s="184">
        <v>43052</v>
      </c>
      <c r="C41" s="10">
        <v>600</v>
      </c>
      <c r="D41" s="39">
        <v>33.913699999999999</v>
      </c>
      <c r="E41" s="39">
        <v>28.45</v>
      </c>
      <c r="F41" s="39">
        <f t="shared" si="4"/>
        <v>-3278.22</v>
      </c>
      <c r="G41" s="39">
        <f t="shared" si="5"/>
        <v>20348.219999999998</v>
      </c>
      <c r="H41" s="223">
        <f t="shared" si="6"/>
        <v>-0.16110598371749468</v>
      </c>
      <c r="I41" s="39">
        <v>33.5</v>
      </c>
      <c r="J41" s="39"/>
      <c r="K41" s="39"/>
      <c r="L41" s="39"/>
      <c r="O41" s="33"/>
      <c r="R41" s="33"/>
    </row>
    <row r="42" spans="1:21" x14ac:dyDescent="0.25">
      <c r="A42">
        <v>0</v>
      </c>
      <c r="B42" s="184">
        <v>43066</v>
      </c>
      <c r="C42" s="10">
        <v>500</v>
      </c>
      <c r="D42" s="39">
        <v>34.780500000000004</v>
      </c>
      <c r="E42" s="39">
        <v>29.79</v>
      </c>
      <c r="F42" s="39">
        <f t="shared" si="4"/>
        <v>-2495.2500000000023</v>
      </c>
      <c r="G42" s="39">
        <f t="shared" si="5"/>
        <v>17390.25</v>
      </c>
      <c r="H42" s="223">
        <f t="shared" si="6"/>
        <v>-0.14348557381291252</v>
      </c>
      <c r="I42" s="39">
        <v>34.5</v>
      </c>
      <c r="J42" s="39"/>
      <c r="K42" s="39"/>
      <c r="L42" s="39"/>
      <c r="Q42" s="33"/>
      <c r="R42" s="33"/>
    </row>
    <row r="43" spans="1:21" x14ac:dyDescent="0.25">
      <c r="B43" s="184">
        <v>43074</v>
      </c>
      <c r="C43" s="10">
        <v>440</v>
      </c>
      <c r="D43" s="39">
        <v>35.309699999999999</v>
      </c>
      <c r="E43" s="39">
        <v>31.78</v>
      </c>
      <c r="F43" s="39">
        <f t="shared" si="4"/>
        <v>-1553.0679999999993</v>
      </c>
      <c r="G43" s="39">
        <f t="shared" si="5"/>
        <v>15536.268</v>
      </c>
      <c r="H43" s="223">
        <f t="shared" si="6"/>
        <v>-9.9964032546297432E-2</v>
      </c>
      <c r="I43" s="39"/>
      <c r="J43" s="39"/>
      <c r="K43" s="39"/>
      <c r="L43" s="39"/>
      <c r="Q43" s="33"/>
      <c r="R43" s="33"/>
    </row>
    <row r="44" spans="1:21" x14ac:dyDescent="0.25">
      <c r="A44">
        <v>440</v>
      </c>
      <c r="B44" s="184">
        <v>43087</v>
      </c>
      <c r="C44" s="10">
        <v>440</v>
      </c>
      <c r="D44" s="39">
        <v>35.049999999999997</v>
      </c>
      <c r="E44" s="39">
        <v>30.7</v>
      </c>
      <c r="F44" s="39">
        <f t="shared" si="4"/>
        <v>-1913.9999999999991</v>
      </c>
      <c r="G44" s="39">
        <f t="shared" si="5"/>
        <v>15421.999999999998</v>
      </c>
      <c r="H44" s="223">
        <f t="shared" si="6"/>
        <v>-0.12410841654778883</v>
      </c>
      <c r="I44" s="39"/>
      <c r="J44" s="39"/>
      <c r="K44" s="39"/>
      <c r="L44" s="39"/>
      <c r="Q44" s="33"/>
      <c r="R44" s="33"/>
    </row>
    <row r="45" spans="1:21" x14ac:dyDescent="0.25">
      <c r="A45">
        <v>440</v>
      </c>
      <c r="B45" s="184">
        <v>43089</v>
      </c>
      <c r="C45" s="10">
        <v>500</v>
      </c>
      <c r="D45" s="39">
        <v>34.463999999999999</v>
      </c>
      <c r="E45" s="39">
        <v>30.21</v>
      </c>
      <c r="F45" s="39">
        <f t="shared" si="4"/>
        <v>-2126.9999999999991</v>
      </c>
      <c r="G45" s="39">
        <f t="shared" si="5"/>
        <v>17232</v>
      </c>
      <c r="H45" s="223">
        <f t="shared" si="6"/>
        <v>-0.12343314763231192</v>
      </c>
      <c r="I45" s="39" t="s">
        <v>771</v>
      </c>
      <c r="J45" s="39"/>
      <c r="K45" s="39"/>
      <c r="L45" s="39"/>
      <c r="Q45" s="33"/>
      <c r="R45" s="33"/>
    </row>
    <row r="46" spans="1:21" x14ac:dyDescent="0.25">
      <c r="A46">
        <v>320</v>
      </c>
      <c r="B46" s="184">
        <v>43090</v>
      </c>
      <c r="C46" s="425">
        <v>380</v>
      </c>
      <c r="D46" s="426">
        <v>35.658999999999999</v>
      </c>
      <c r="E46" s="39">
        <v>30.68</v>
      </c>
      <c r="F46" s="39">
        <f t="shared" si="4"/>
        <v>-1892.0199999999998</v>
      </c>
      <c r="G46" s="39">
        <f t="shared" si="5"/>
        <v>13550.42</v>
      </c>
      <c r="H46" s="223">
        <f t="shared" si="6"/>
        <v>-0.13962814436748083</v>
      </c>
      <c r="I46" s="39"/>
      <c r="J46" s="39"/>
      <c r="K46" s="39"/>
      <c r="L46" s="39"/>
      <c r="Q46" s="81"/>
      <c r="R46" s="33"/>
    </row>
    <row r="47" spans="1:21" x14ac:dyDescent="0.25">
      <c r="A47">
        <v>260</v>
      </c>
      <c r="B47" s="184">
        <v>43097</v>
      </c>
      <c r="C47" s="10">
        <v>320</v>
      </c>
      <c r="D47" s="39">
        <v>36.552</v>
      </c>
      <c r="E47" s="39">
        <v>30.9</v>
      </c>
      <c r="F47" s="39">
        <f t="shared" si="4"/>
        <v>-1808.6400000000003</v>
      </c>
      <c r="G47" s="39">
        <f t="shared" si="5"/>
        <v>11696.64</v>
      </c>
      <c r="H47" s="223">
        <f t="shared" si="6"/>
        <v>-0.15462902166776102</v>
      </c>
      <c r="I47" s="39"/>
      <c r="J47" s="39"/>
      <c r="K47" s="39"/>
      <c r="L47" s="39"/>
      <c r="Q47" s="81"/>
      <c r="R47" s="33"/>
    </row>
    <row r="48" spans="1:21" x14ac:dyDescent="0.25">
      <c r="A48">
        <v>260</v>
      </c>
      <c r="B48" s="184">
        <v>43103</v>
      </c>
      <c r="C48" s="10">
        <v>320</v>
      </c>
      <c r="D48" s="39">
        <v>36.552</v>
      </c>
      <c r="E48" s="39">
        <v>31.83</v>
      </c>
      <c r="F48" s="39">
        <f t="shared" ref="F48:F74" si="7">C48*(E48-D48)</f>
        <v>-1511.0400000000004</v>
      </c>
      <c r="G48" s="39">
        <f t="shared" ref="G48:G74" si="8">D48*C48</f>
        <v>11696.64</v>
      </c>
      <c r="H48" s="223">
        <f t="shared" ref="H48:H74" si="9">(E48-D48)/D48</f>
        <v>-0.1291858174655286</v>
      </c>
      <c r="I48" s="39"/>
      <c r="J48" s="39">
        <v>55.37</v>
      </c>
      <c r="K48" s="39"/>
      <c r="L48" s="39"/>
      <c r="Q48" s="81"/>
      <c r="R48" s="33"/>
    </row>
    <row r="49" spans="1:18" x14ac:dyDescent="0.25">
      <c r="A49">
        <v>260</v>
      </c>
      <c r="B49" s="184">
        <v>43110</v>
      </c>
      <c r="C49" s="10">
        <v>320</v>
      </c>
      <c r="D49" s="39">
        <v>36.552</v>
      </c>
      <c r="E49" s="39">
        <v>31.15</v>
      </c>
      <c r="F49" s="39">
        <f t="shared" si="7"/>
        <v>-1728.6400000000003</v>
      </c>
      <c r="G49" s="39">
        <f t="shared" si="8"/>
        <v>11696.64</v>
      </c>
      <c r="H49" s="223">
        <f t="shared" si="9"/>
        <v>-0.14778945064565555</v>
      </c>
      <c r="I49" s="39"/>
      <c r="J49" s="39">
        <v>57.27</v>
      </c>
      <c r="K49" s="39"/>
      <c r="L49" s="39"/>
      <c r="Q49" s="81"/>
      <c r="R49" s="33"/>
    </row>
    <row r="50" spans="1:18" x14ac:dyDescent="0.25">
      <c r="A50">
        <v>320</v>
      </c>
      <c r="B50" s="184">
        <v>43125</v>
      </c>
      <c r="C50" s="10">
        <v>500</v>
      </c>
      <c r="D50" s="39">
        <v>32.3932</v>
      </c>
      <c r="E50" s="39">
        <v>24.81</v>
      </c>
      <c r="F50" s="39">
        <f t="shared" si="7"/>
        <v>-3791.6000000000008</v>
      </c>
      <c r="G50" s="39">
        <f t="shared" si="8"/>
        <v>16196.6</v>
      </c>
      <c r="H50" s="223">
        <f t="shared" si="9"/>
        <v>-0.23409851450304389</v>
      </c>
      <c r="I50" s="39"/>
      <c r="J50" s="39"/>
      <c r="K50" s="39"/>
      <c r="L50" s="39"/>
      <c r="Q50" s="81"/>
      <c r="R50" s="33"/>
    </row>
    <row r="51" spans="1:18" x14ac:dyDescent="0.25">
      <c r="A51">
        <v>140</v>
      </c>
      <c r="B51" s="184">
        <v>43126</v>
      </c>
      <c r="C51" s="10">
        <v>320</v>
      </c>
      <c r="D51" s="39">
        <v>36.340000000000003</v>
      </c>
      <c r="E51" s="39">
        <v>25.38</v>
      </c>
      <c r="F51" s="39">
        <f t="shared" si="7"/>
        <v>-3507.2000000000016</v>
      </c>
      <c r="G51" s="39">
        <f t="shared" si="8"/>
        <v>11628.800000000001</v>
      </c>
      <c r="H51" s="223">
        <f t="shared" si="9"/>
        <v>-0.30159603742432589</v>
      </c>
      <c r="I51" s="39"/>
      <c r="J51" s="39"/>
      <c r="K51" s="39"/>
      <c r="L51" s="39"/>
      <c r="Q51" s="81"/>
      <c r="R51" s="33"/>
    </row>
    <row r="52" spans="1:18" x14ac:dyDescent="0.25">
      <c r="A52">
        <v>100</v>
      </c>
      <c r="B52" s="184">
        <v>43126</v>
      </c>
      <c r="C52" s="7">
        <v>280</v>
      </c>
      <c r="D52" s="43">
        <v>37.770000000000003</v>
      </c>
      <c r="E52" s="39">
        <v>26.358000000000001</v>
      </c>
      <c r="F52" s="39">
        <f t="shared" si="7"/>
        <v>-3195.3600000000006</v>
      </c>
      <c r="G52" s="39">
        <f t="shared" si="8"/>
        <v>10575.6</v>
      </c>
      <c r="H52" s="223">
        <f t="shared" si="9"/>
        <v>-0.30214455917394761</v>
      </c>
      <c r="I52" s="39">
        <v>37</v>
      </c>
      <c r="J52" s="39"/>
      <c r="K52" s="39"/>
      <c r="L52" s="39"/>
      <c r="Q52" s="81"/>
      <c r="R52" s="33"/>
    </row>
    <row r="53" spans="1:18" x14ac:dyDescent="0.25">
      <c r="A53">
        <v>100</v>
      </c>
      <c r="B53" s="184">
        <v>43142</v>
      </c>
      <c r="C53" s="10">
        <v>280</v>
      </c>
      <c r="D53" s="39">
        <v>37.770000000000003</v>
      </c>
      <c r="E53" s="39">
        <v>27.61</v>
      </c>
      <c r="F53" s="39">
        <f t="shared" si="7"/>
        <v>-2844.8000000000011</v>
      </c>
      <c r="G53" s="39">
        <f t="shared" si="8"/>
        <v>10575.6</v>
      </c>
      <c r="H53" s="223">
        <f t="shared" si="9"/>
        <v>-0.26899655811490608</v>
      </c>
      <c r="I53" s="39"/>
      <c r="J53" s="39"/>
      <c r="K53" s="39"/>
      <c r="L53" s="39"/>
      <c r="Q53" s="81"/>
      <c r="R53" s="33"/>
    </row>
    <row r="54" spans="1:18" x14ac:dyDescent="0.25">
      <c r="A54">
        <v>280</v>
      </c>
      <c r="B54" s="184">
        <v>43143</v>
      </c>
      <c r="C54" s="10">
        <v>280</v>
      </c>
      <c r="D54" s="39">
        <v>37.770000000000003</v>
      </c>
      <c r="E54" s="39">
        <v>26.96</v>
      </c>
      <c r="F54" s="39">
        <f t="shared" si="7"/>
        <v>-3026.8000000000006</v>
      </c>
      <c r="G54" s="39">
        <f t="shared" si="8"/>
        <v>10575.6</v>
      </c>
      <c r="H54" s="223">
        <f t="shared" si="9"/>
        <v>-0.28620598358485572</v>
      </c>
      <c r="I54" s="39"/>
      <c r="J54" s="39"/>
      <c r="K54" s="39"/>
      <c r="L54" s="39"/>
      <c r="Q54" s="81"/>
      <c r="R54" s="33"/>
    </row>
    <row r="55" spans="1:18" x14ac:dyDescent="0.25">
      <c r="B55" s="184">
        <v>43172</v>
      </c>
      <c r="C55" s="10">
        <v>280</v>
      </c>
      <c r="D55" s="39">
        <v>37.770000000000003</v>
      </c>
      <c r="E55" s="39">
        <v>28.6</v>
      </c>
      <c r="F55" s="39">
        <f t="shared" si="7"/>
        <v>-2567.6000000000004</v>
      </c>
      <c r="G55" s="39">
        <f t="shared" si="8"/>
        <v>10575.6</v>
      </c>
      <c r="H55" s="223">
        <f t="shared" si="9"/>
        <v>-0.24278527932221342</v>
      </c>
      <c r="I55" s="39"/>
      <c r="J55" s="39"/>
      <c r="K55" s="39">
        <v>-2491</v>
      </c>
      <c r="L55" s="39"/>
      <c r="Q55" s="81"/>
    </row>
    <row r="56" spans="1:18" x14ac:dyDescent="0.25">
      <c r="B56" s="184">
        <v>43178</v>
      </c>
      <c r="C56" s="10">
        <v>380</v>
      </c>
      <c r="D56" s="39">
        <v>34.729999999999997</v>
      </c>
      <c r="E56" s="39">
        <v>26.79</v>
      </c>
      <c r="F56" s="39">
        <f t="shared" si="7"/>
        <v>-3017.1999999999989</v>
      </c>
      <c r="G56" s="39">
        <f t="shared" si="8"/>
        <v>13197.4</v>
      </c>
      <c r="H56" s="223">
        <f t="shared" si="9"/>
        <v>-0.22862078894327667</v>
      </c>
      <c r="I56" s="39"/>
      <c r="J56" s="39"/>
      <c r="K56" s="39"/>
      <c r="L56" s="39"/>
      <c r="Q56" s="81"/>
    </row>
    <row r="57" spans="1:18" x14ac:dyDescent="0.25">
      <c r="B57" s="184">
        <v>43185</v>
      </c>
      <c r="C57" s="425">
        <v>380</v>
      </c>
      <c r="D57" s="426">
        <v>34.729999999999997</v>
      </c>
      <c r="E57" s="39">
        <v>26.06</v>
      </c>
      <c r="F57" s="39">
        <f t="shared" si="7"/>
        <v>-3294.5999999999995</v>
      </c>
      <c r="G57" s="39">
        <f t="shared" si="8"/>
        <v>13197.4</v>
      </c>
      <c r="H57" s="223">
        <f t="shared" si="9"/>
        <v>-0.24964008062194065</v>
      </c>
      <c r="I57" s="39"/>
      <c r="J57" s="39"/>
      <c r="K57" s="39">
        <v>-3220</v>
      </c>
      <c r="L57" s="39"/>
      <c r="Q57" s="81"/>
    </row>
    <row r="58" spans="1:18" x14ac:dyDescent="0.25">
      <c r="A58">
        <v>280</v>
      </c>
      <c r="B58" s="184">
        <v>43186</v>
      </c>
      <c r="C58" s="10">
        <v>500</v>
      </c>
      <c r="D58" s="39">
        <v>32.32</v>
      </c>
      <c r="E58" s="39">
        <v>25.19</v>
      </c>
      <c r="F58" s="39">
        <f t="shared" si="7"/>
        <v>-3564.9999999999995</v>
      </c>
      <c r="G58" s="39">
        <f t="shared" si="8"/>
        <v>16160</v>
      </c>
      <c r="H58" s="223">
        <f t="shared" si="9"/>
        <v>-0.22060643564356433</v>
      </c>
      <c r="I58" s="39"/>
      <c r="J58" s="39"/>
      <c r="K58" s="39">
        <v>-3490</v>
      </c>
      <c r="L58" s="39"/>
      <c r="Q58" s="81"/>
    </row>
    <row r="59" spans="1:18" x14ac:dyDescent="0.25">
      <c r="A59">
        <v>160</v>
      </c>
      <c r="B59" s="184">
        <v>43194</v>
      </c>
      <c r="C59" s="10">
        <v>380</v>
      </c>
      <c r="D59" s="39">
        <v>34.42</v>
      </c>
      <c r="E59" s="39">
        <v>25.67</v>
      </c>
      <c r="F59" s="39">
        <f t="shared" si="7"/>
        <v>-3325</v>
      </c>
      <c r="G59" s="39">
        <f t="shared" si="8"/>
        <v>13079.6</v>
      </c>
      <c r="H59" s="223">
        <f t="shared" si="9"/>
        <v>-0.25421266705403833</v>
      </c>
      <c r="I59" s="39"/>
      <c r="J59" s="39"/>
      <c r="K59" s="39">
        <v>-3248</v>
      </c>
      <c r="L59" s="39"/>
      <c r="Q59" s="81"/>
    </row>
    <row r="60" spans="1:18" x14ac:dyDescent="0.25">
      <c r="A60">
        <v>260</v>
      </c>
      <c r="B60" s="184">
        <v>43216</v>
      </c>
      <c r="C60" s="10">
        <v>380</v>
      </c>
      <c r="D60" s="39">
        <v>34.42</v>
      </c>
      <c r="E60" s="39">
        <v>26.96</v>
      </c>
      <c r="F60" s="39">
        <f t="shared" si="7"/>
        <v>-2834.8</v>
      </c>
      <c r="G60" s="39">
        <f t="shared" si="8"/>
        <v>13079.6</v>
      </c>
      <c r="H60" s="223">
        <f t="shared" si="9"/>
        <v>-0.21673445671121441</v>
      </c>
      <c r="I60" s="39"/>
      <c r="J60" s="39"/>
      <c r="K60" s="39">
        <v>-2758</v>
      </c>
      <c r="L60" s="39"/>
      <c r="Q60" s="81"/>
    </row>
    <row r="61" spans="1:18" x14ac:dyDescent="0.25">
      <c r="A61">
        <v>280</v>
      </c>
      <c r="B61" s="184">
        <v>43217</v>
      </c>
      <c r="C61" s="7">
        <v>280</v>
      </c>
      <c r="D61" s="43">
        <v>36.86</v>
      </c>
      <c r="E61" s="39">
        <v>27.58</v>
      </c>
      <c r="F61" s="39">
        <f t="shared" si="7"/>
        <v>-2598.4000000000005</v>
      </c>
      <c r="G61" s="39">
        <f t="shared" si="8"/>
        <v>10320.799999999999</v>
      </c>
      <c r="H61" s="223">
        <f t="shared" si="9"/>
        <v>-0.25176342919153555</v>
      </c>
      <c r="I61" s="193" t="s">
        <v>1037</v>
      </c>
      <c r="J61" s="39"/>
      <c r="K61" s="39">
        <v>-2523</v>
      </c>
      <c r="L61" s="39"/>
      <c r="Q61" s="81"/>
    </row>
    <row r="62" spans="1:18" x14ac:dyDescent="0.25">
      <c r="A62">
        <v>280</v>
      </c>
      <c r="B62" s="184">
        <v>43221</v>
      </c>
      <c r="C62" s="425">
        <v>380</v>
      </c>
      <c r="D62" s="426">
        <v>34.158099999999997</v>
      </c>
      <c r="E62" s="39">
        <v>27.05</v>
      </c>
      <c r="F62" s="39">
        <f t="shared" si="7"/>
        <v>-2701.0779999999986</v>
      </c>
      <c r="G62" s="39">
        <f t="shared" si="8"/>
        <v>12980.078</v>
      </c>
      <c r="H62" s="223">
        <f t="shared" si="9"/>
        <v>-0.20809412701526131</v>
      </c>
      <c r="I62" s="193">
        <v>34</v>
      </c>
      <c r="J62" s="39"/>
      <c r="K62" s="39">
        <v>-2626</v>
      </c>
      <c r="L62" s="193"/>
      <c r="Q62" s="81"/>
    </row>
    <row r="63" spans="1:18" x14ac:dyDescent="0.25">
      <c r="A63">
        <v>180</v>
      </c>
      <c r="B63" s="184">
        <v>43222</v>
      </c>
      <c r="C63" s="7">
        <v>280</v>
      </c>
      <c r="D63" s="43">
        <v>36.472000000000001</v>
      </c>
      <c r="E63" s="39">
        <v>26.85</v>
      </c>
      <c r="F63" s="39">
        <f t="shared" si="7"/>
        <v>-2694.16</v>
      </c>
      <c r="G63" s="39">
        <f t="shared" si="8"/>
        <v>10212.16</v>
      </c>
      <c r="H63" s="223">
        <f t="shared" si="9"/>
        <v>-0.26381881991664835</v>
      </c>
      <c r="I63" s="193">
        <v>36</v>
      </c>
      <c r="J63" s="39"/>
      <c r="K63" s="39">
        <v>-2619</v>
      </c>
      <c r="L63" s="193"/>
      <c r="Q63" s="81"/>
    </row>
    <row r="64" spans="1:18" x14ac:dyDescent="0.25">
      <c r="A64">
        <v>180</v>
      </c>
      <c r="B64" s="184">
        <v>43223</v>
      </c>
      <c r="C64" s="425">
        <v>380</v>
      </c>
      <c r="D64" s="426">
        <v>33.9133</v>
      </c>
      <c r="E64" s="39">
        <v>26.69</v>
      </c>
      <c r="F64" s="39">
        <f t="shared" si="7"/>
        <v>-2744.8539999999994</v>
      </c>
      <c r="G64" s="39">
        <f t="shared" si="8"/>
        <v>12887.054</v>
      </c>
      <c r="H64" s="223">
        <f t="shared" si="9"/>
        <v>-0.21299313248784396</v>
      </c>
      <c r="I64" s="39"/>
      <c r="J64" s="39"/>
      <c r="K64" s="39">
        <v>-2670</v>
      </c>
      <c r="L64" s="193"/>
      <c r="O64" s="33"/>
    </row>
    <row r="65" spans="1:15" x14ac:dyDescent="0.25">
      <c r="A65">
        <v>180</v>
      </c>
      <c r="B65" s="184">
        <v>43241</v>
      </c>
      <c r="C65" s="425">
        <v>380</v>
      </c>
      <c r="D65" s="426">
        <v>33.9133</v>
      </c>
      <c r="E65" s="39">
        <v>26.39</v>
      </c>
      <c r="F65" s="39">
        <f t="shared" si="7"/>
        <v>-2858.8539999999998</v>
      </c>
      <c r="G65" s="39">
        <f t="shared" si="8"/>
        <v>12887.054</v>
      </c>
      <c r="H65" s="223">
        <f t="shared" si="9"/>
        <v>-0.22183921942128895</v>
      </c>
      <c r="I65" s="39"/>
      <c r="J65" s="39"/>
      <c r="K65" s="39">
        <v>-2669</v>
      </c>
      <c r="L65" s="193">
        <v>9.8800000000000008</v>
      </c>
    </row>
    <row r="66" spans="1:15" x14ac:dyDescent="0.25">
      <c r="A66">
        <v>180</v>
      </c>
      <c r="B66" s="184">
        <v>43249</v>
      </c>
      <c r="C66" s="10">
        <v>500</v>
      </c>
      <c r="D66" s="39">
        <v>31.690200000000001</v>
      </c>
      <c r="E66" s="39">
        <v>24.83</v>
      </c>
      <c r="F66" s="39">
        <f t="shared" si="7"/>
        <v>-3430.1000000000013</v>
      </c>
      <c r="G66" s="39">
        <f t="shared" si="8"/>
        <v>15845.1</v>
      </c>
      <c r="H66" s="223">
        <f t="shared" si="9"/>
        <v>-0.21647701813178846</v>
      </c>
      <c r="I66" s="39"/>
      <c r="J66" s="39"/>
      <c r="K66" s="39">
        <v>-3355</v>
      </c>
      <c r="L66" s="193">
        <v>9.3000000000000007</v>
      </c>
    </row>
    <row r="67" spans="1:15" x14ac:dyDescent="0.25">
      <c r="A67">
        <v>380</v>
      </c>
      <c r="B67" s="184">
        <v>43254</v>
      </c>
      <c r="C67" s="10">
        <v>500</v>
      </c>
      <c r="D67" s="39">
        <v>31.690200000000001</v>
      </c>
      <c r="E67" s="39">
        <v>23.12</v>
      </c>
      <c r="F67" s="39">
        <f t="shared" si="7"/>
        <v>-4285.1000000000004</v>
      </c>
      <c r="G67" s="39">
        <f t="shared" si="8"/>
        <v>15845.1</v>
      </c>
      <c r="H67" s="223">
        <f t="shared" si="9"/>
        <v>-0.27043691740664305</v>
      </c>
      <c r="I67" s="39"/>
      <c r="J67" s="39"/>
      <c r="K67" s="39">
        <v>-4210</v>
      </c>
      <c r="L67" s="193">
        <v>8.66</v>
      </c>
    </row>
    <row r="68" spans="1:15" x14ac:dyDescent="0.25">
      <c r="A68">
        <v>260</v>
      </c>
      <c r="B68" s="184">
        <v>43262</v>
      </c>
      <c r="C68" s="425">
        <v>380</v>
      </c>
      <c r="D68" s="426">
        <v>33.588299999999997</v>
      </c>
      <c r="E68" s="39">
        <v>25.59</v>
      </c>
      <c r="F68" s="39">
        <f t="shared" si="7"/>
        <v>-3039.3539999999989</v>
      </c>
      <c r="G68" s="39">
        <f t="shared" si="8"/>
        <v>12763.553999999998</v>
      </c>
      <c r="H68" s="223">
        <f t="shared" si="9"/>
        <v>-0.23812756227614967</v>
      </c>
      <c r="I68" s="39"/>
      <c r="J68" s="39"/>
      <c r="K68" s="39">
        <v>-2964</v>
      </c>
      <c r="L68" s="193">
        <v>9.58</v>
      </c>
    </row>
    <row r="69" spans="1:15" x14ac:dyDescent="0.25">
      <c r="A69">
        <v>260</v>
      </c>
      <c r="B69" s="184">
        <v>43266</v>
      </c>
      <c r="C69" s="425">
        <v>380</v>
      </c>
      <c r="D69" s="426">
        <v>33.285699999999999</v>
      </c>
      <c r="E69" s="39">
        <v>26.05</v>
      </c>
      <c r="F69" s="39">
        <f t="shared" si="7"/>
        <v>-2749.5659999999993</v>
      </c>
      <c r="G69" s="39">
        <f t="shared" si="8"/>
        <v>12648.565999999999</v>
      </c>
      <c r="H69" s="223">
        <f t="shared" si="9"/>
        <v>-0.21738163836121813</v>
      </c>
      <c r="I69" s="39"/>
      <c r="J69" s="39"/>
      <c r="K69" s="39">
        <v>-2675</v>
      </c>
      <c r="L69" s="193"/>
      <c r="O69" s="33"/>
    </row>
    <row r="70" spans="1:15" x14ac:dyDescent="0.25">
      <c r="A70">
        <v>280</v>
      </c>
      <c r="B70" s="184">
        <v>43286</v>
      </c>
      <c r="C70" s="7">
        <v>280</v>
      </c>
      <c r="D70" s="43">
        <v>35.47</v>
      </c>
      <c r="E70" s="39">
        <v>27.15</v>
      </c>
      <c r="F70" s="39">
        <f t="shared" si="7"/>
        <v>-2329.6</v>
      </c>
      <c r="G70" s="39">
        <f t="shared" si="8"/>
        <v>9931.6</v>
      </c>
      <c r="H70" s="223">
        <f t="shared" si="9"/>
        <v>-0.23456442063715818</v>
      </c>
      <c r="I70" s="39" t="s">
        <v>1165</v>
      </c>
      <c r="J70" s="39"/>
      <c r="K70" s="39">
        <v>-2254</v>
      </c>
      <c r="L70" s="193">
        <v>10.17</v>
      </c>
    </row>
    <row r="71" spans="1:15" x14ac:dyDescent="0.25">
      <c r="A71">
        <v>280</v>
      </c>
      <c r="B71" s="184">
        <v>43288</v>
      </c>
      <c r="C71" s="10">
        <v>280</v>
      </c>
      <c r="D71" s="39">
        <v>35.47</v>
      </c>
      <c r="E71" s="39">
        <v>27.42</v>
      </c>
      <c r="F71" s="39">
        <f t="shared" si="7"/>
        <v>-2253.9999999999991</v>
      </c>
      <c r="G71" s="39">
        <f t="shared" si="8"/>
        <v>9931.6</v>
      </c>
      <c r="H71" s="223">
        <f t="shared" si="9"/>
        <v>-0.226952354102058</v>
      </c>
      <c r="I71" s="39"/>
      <c r="J71" s="39"/>
      <c r="K71" s="39">
        <v>-2254</v>
      </c>
      <c r="L71" s="193">
        <v>10.27</v>
      </c>
    </row>
    <row r="72" spans="1:15" x14ac:dyDescent="0.25">
      <c r="A72">
        <v>280</v>
      </c>
      <c r="B72" s="184">
        <v>43301</v>
      </c>
      <c r="C72" s="425">
        <v>380</v>
      </c>
      <c r="D72" s="426">
        <v>33.048900000000003</v>
      </c>
      <c r="E72" s="39">
        <v>26.28</v>
      </c>
      <c r="F72" s="39">
        <f t="shared" si="7"/>
        <v>-2572.1820000000007</v>
      </c>
      <c r="G72" s="39">
        <f t="shared" si="8"/>
        <v>12558.582000000002</v>
      </c>
      <c r="H72" s="223">
        <f t="shared" si="9"/>
        <v>-0.20481468369597783</v>
      </c>
      <c r="I72" s="39"/>
      <c r="J72" s="39"/>
      <c r="K72" s="39">
        <v>-2497</v>
      </c>
      <c r="L72" s="193">
        <v>9.84</v>
      </c>
    </row>
    <row r="73" spans="1:15" x14ac:dyDescent="0.25">
      <c r="A73">
        <v>280</v>
      </c>
      <c r="B73" s="184">
        <v>43306</v>
      </c>
      <c r="C73" s="10">
        <v>500</v>
      </c>
      <c r="D73" s="39">
        <v>31.277999999999999</v>
      </c>
      <c r="E73" s="39">
        <v>25.67</v>
      </c>
      <c r="F73" s="39">
        <f t="shared" si="7"/>
        <v>-2803.9999999999986</v>
      </c>
      <c r="G73" s="39">
        <f t="shared" si="8"/>
        <v>15639</v>
      </c>
      <c r="H73" s="223">
        <f t="shared" si="9"/>
        <v>-0.17929535136517671</v>
      </c>
      <c r="I73" s="39"/>
      <c r="J73" s="39"/>
      <c r="K73" s="39">
        <v>-2729</v>
      </c>
      <c r="L73" s="193"/>
    </row>
    <row r="74" spans="1:15" x14ac:dyDescent="0.25">
      <c r="A74">
        <v>160</v>
      </c>
      <c r="B74" s="184">
        <v>43307</v>
      </c>
      <c r="C74" s="425">
        <v>380</v>
      </c>
      <c r="D74" s="426">
        <v>32.78</v>
      </c>
      <c r="E74" s="39">
        <v>26.52</v>
      </c>
      <c r="F74" s="39">
        <f t="shared" si="7"/>
        <v>-2378.8000000000006</v>
      </c>
      <c r="G74" s="39">
        <f t="shared" si="8"/>
        <v>12456.4</v>
      </c>
      <c r="H74" s="223">
        <f t="shared" si="9"/>
        <v>-0.19097010372178161</v>
      </c>
      <c r="I74" s="39"/>
      <c r="J74" s="39"/>
      <c r="K74" s="39">
        <v>-2304</v>
      </c>
      <c r="L74" s="193">
        <v>9.93</v>
      </c>
    </row>
    <row r="75" spans="1:15" x14ac:dyDescent="0.25">
      <c r="B75" s="184"/>
      <c r="C75" s="10"/>
      <c r="D75" s="39"/>
      <c r="E75" s="39"/>
      <c r="F75" s="39"/>
      <c r="G75" s="39"/>
      <c r="H75" s="223"/>
      <c r="I75" s="39"/>
      <c r="J75" s="39"/>
      <c r="K75" s="39"/>
      <c r="L75" s="193"/>
    </row>
    <row r="76" spans="1:15" x14ac:dyDescent="0.25">
      <c r="B76" s="184"/>
      <c r="C76" s="10"/>
      <c r="D76" s="39"/>
      <c r="E76" s="39"/>
      <c r="F76" s="39"/>
      <c r="G76" s="39"/>
      <c r="H76" s="223"/>
      <c r="I76" s="39"/>
      <c r="J76" s="39"/>
      <c r="K76" s="39"/>
      <c r="L76" s="193"/>
    </row>
    <row r="77" spans="1:15" x14ac:dyDescent="0.25">
      <c r="B77" s="184"/>
      <c r="C77" s="10"/>
      <c r="D77" s="39"/>
      <c r="E77" s="39"/>
      <c r="F77" s="39"/>
      <c r="G77" s="39"/>
      <c r="H77" s="223"/>
      <c r="I77" s="39"/>
      <c r="J77" s="39"/>
      <c r="K77" s="39"/>
      <c r="L77" s="193"/>
    </row>
    <row r="78" spans="1:15" x14ac:dyDescent="0.25">
      <c r="B78" s="184"/>
      <c r="C78" s="10"/>
      <c r="D78" s="39"/>
      <c r="E78" s="39"/>
      <c r="F78" s="39"/>
      <c r="G78" s="39"/>
      <c r="H78" s="223"/>
      <c r="I78" s="39"/>
      <c r="J78" s="39"/>
      <c r="K78" s="39"/>
      <c r="L78" s="193"/>
    </row>
    <row r="79" spans="1:15" x14ac:dyDescent="0.25">
      <c r="B79" s="184"/>
      <c r="C79" s="10"/>
      <c r="D79" s="39"/>
      <c r="E79" s="39"/>
      <c r="F79" s="39"/>
      <c r="G79" s="39"/>
      <c r="H79" s="223"/>
      <c r="I79" s="39"/>
      <c r="J79" s="39"/>
      <c r="K79" s="39"/>
      <c r="L79" s="193"/>
    </row>
    <row r="80" spans="1:15" x14ac:dyDescent="0.25">
      <c r="B80" s="4"/>
      <c r="C80" s="4"/>
      <c r="D80" s="3"/>
      <c r="E80" s="3"/>
      <c r="F80" s="3"/>
      <c r="G80" s="3"/>
      <c r="H80" s="224"/>
      <c r="I80" s="3"/>
      <c r="J80" s="3"/>
      <c r="K80" s="3"/>
    </row>
    <row r="81" spans="1:13" x14ac:dyDescent="0.25">
      <c r="L81" t="s">
        <v>208</v>
      </c>
      <c r="M81" s="2">
        <f>M95+K95-F95</f>
        <v>75.019999999999982</v>
      </c>
    </row>
    <row r="82" spans="1:13" x14ac:dyDescent="0.25">
      <c r="A82" s="368" t="s">
        <v>1</v>
      </c>
      <c r="B82" s="368" t="s">
        <v>2</v>
      </c>
      <c r="C82" s="368" t="s">
        <v>4</v>
      </c>
      <c r="D82" s="370" t="s">
        <v>5</v>
      </c>
      <c r="E82" s="370" t="s">
        <v>94</v>
      </c>
      <c r="F82" s="370" t="s">
        <v>60</v>
      </c>
      <c r="G82" s="368" t="s">
        <v>3</v>
      </c>
      <c r="H82" s="368" t="s">
        <v>6</v>
      </c>
      <c r="I82" s="370" t="s">
        <v>7</v>
      </c>
      <c r="J82" s="370" t="s">
        <v>95</v>
      </c>
      <c r="K82" s="370" t="s">
        <v>61</v>
      </c>
      <c r="L82" s="368" t="s">
        <v>77</v>
      </c>
      <c r="M82" s="368" t="s">
        <v>38</v>
      </c>
    </row>
    <row r="83" spans="1:13" x14ac:dyDescent="0.25">
      <c r="A83" s="371" t="s">
        <v>174</v>
      </c>
      <c r="B83" s="361">
        <v>42376</v>
      </c>
      <c r="C83" s="362">
        <v>60</v>
      </c>
      <c r="D83" s="363">
        <v>41.01</v>
      </c>
      <c r="E83" s="363">
        <v>0</v>
      </c>
      <c r="F83" s="363">
        <f>C83*D83</f>
        <v>2460.6</v>
      </c>
      <c r="G83" s="361">
        <v>42426</v>
      </c>
      <c r="H83" s="366">
        <v>20</v>
      </c>
      <c r="I83" s="363">
        <v>38.450000000000003</v>
      </c>
      <c r="J83" s="363">
        <v>0.02</v>
      </c>
      <c r="K83" s="363">
        <f>H83*I83-J83</f>
        <v>768.98</v>
      </c>
      <c r="L83" s="361">
        <v>42444</v>
      </c>
      <c r="M83" s="363">
        <v>15.2</v>
      </c>
    </row>
    <row r="84" spans="1:13" x14ac:dyDescent="0.25">
      <c r="A84" s="372" t="s">
        <v>71</v>
      </c>
      <c r="B84" s="361">
        <v>42403</v>
      </c>
      <c r="C84" s="362">
        <v>20</v>
      </c>
      <c r="D84" s="363">
        <v>35.5</v>
      </c>
      <c r="E84" s="363">
        <v>0</v>
      </c>
      <c r="F84" s="363">
        <f>C84*D84</f>
        <v>710</v>
      </c>
      <c r="G84" s="361">
        <v>42426</v>
      </c>
      <c r="H84" s="366">
        <v>30</v>
      </c>
      <c r="I84" s="363">
        <v>38.75</v>
      </c>
      <c r="J84" s="363">
        <v>0.03</v>
      </c>
      <c r="K84" s="363">
        <f>H84*I84-J84</f>
        <v>1162.47</v>
      </c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1">
        <v>42447</v>
      </c>
      <c r="H85" s="366">
        <v>30</v>
      </c>
      <c r="I85" s="363">
        <v>43.3</v>
      </c>
      <c r="J85" s="363">
        <v>0.03</v>
      </c>
      <c r="K85" s="363">
        <f>H85*I85-J85</f>
        <v>1298.97</v>
      </c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3"/>
      <c r="J93" s="363"/>
      <c r="K93" s="363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2"/>
      <c r="I94" s="363"/>
      <c r="J94" s="363"/>
      <c r="K94" s="363"/>
      <c r="L94" s="362"/>
      <c r="M94" s="362"/>
    </row>
    <row r="95" spans="1:13" x14ac:dyDescent="0.25">
      <c r="A95" s="35" t="s">
        <v>81</v>
      </c>
      <c r="B95" s="36"/>
      <c r="C95" s="36">
        <f>SUM(C83:C94)</f>
        <v>80</v>
      </c>
      <c r="D95" s="37"/>
      <c r="E95" s="37"/>
      <c r="F95" s="37">
        <f>SUM(F83:F94)</f>
        <v>3170.6</v>
      </c>
      <c r="G95" s="36"/>
      <c r="H95" s="175">
        <f>SUM(H83:H94)</f>
        <v>80</v>
      </c>
      <c r="I95" s="37"/>
      <c r="J95" s="37"/>
      <c r="K95" s="37">
        <f>SUM(K83:K94)</f>
        <v>3230.42</v>
      </c>
      <c r="L95" s="37"/>
      <c r="M95" s="37">
        <f>SUM(M83:M84)</f>
        <v>15.2</v>
      </c>
    </row>
    <row r="96" spans="1:13" x14ac:dyDescent="0.25">
      <c r="G96" s="2"/>
    </row>
    <row r="98" spans="2:9" x14ac:dyDescent="0.25">
      <c r="B98" s="258" t="s">
        <v>113</v>
      </c>
      <c r="C98" s="258" t="s">
        <v>146</v>
      </c>
      <c r="D98" s="259" t="s">
        <v>145</v>
      </c>
      <c r="E98" s="260" t="s">
        <v>147</v>
      </c>
      <c r="F98" s="261" t="s">
        <v>65</v>
      </c>
      <c r="G98" s="262" t="s">
        <v>151</v>
      </c>
      <c r="H98" s="261" t="s">
        <v>88</v>
      </c>
      <c r="I98" s="261" t="s">
        <v>154</v>
      </c>
    </row>
    <row r="99" spans="2:9" x14ac:dyDescent="0.25">
      <c r="B99" s="255">
        <v>42376</v>
      </c>
      <c r="C99" s="250">
        <v>60</v>
      </c>
      <c r="D99" s="251">
        <v>41.01</v>
      </c>
      <c r="E99" s="251">
        <v>40.33</v>
      </c>
      <c r="F99" s="251">
        <f>C99*(E99-D99)</f>
        <v>-40.799999999999983</v>
      </c>
      <c r="G99" s="251">
        <f>D99*C99</f>
        <v>2460.6</v>
      </c>
      <c r="H99" s="265">
        <f>(E99-D99)/D99</f>
        <v>-1.6581321628871E-2</v>
      </c>
      <c r="I99" s="265"/>
    </row>
    <row r="100" spans="2:9" x14ac:dyDescent="0.25">
      <c r="B100" s="255">
        <v>42403</v>
      </c>
      <c r="C100" s="250">
        <v>80</v>
      </c>
      <c r="D100" s="251">
        <v>39.630000000000003</v>
      </c>
      <c r="E100" s="251">
        <v>36.229999999999997</v>
      </c>
      <c r="F100" s="251">
        <f>C100*(E100-D100)</f>
        <v>-272.00000000000045</v>
      </c>
      <c r="G100" s="251">
        <f>D100*C100</f>
        <v>3170.4</v>
      </c>
      <c r="H100" s="265">
        <f>(E100-D100)/D100</f>
        <v>-8.5793590714105611E-2</v>
      </c>
      <c r="I100" s="265"/>
    </row>
    <row r="101" spans="2:9" x14ac:dyDescent="0.25">
      <c r="B101" s="255">
        <v>42421</v>
      </c>
      <c r="C101" s="250">
        <v>80</v>
      </c>
      <c r="D101" s="251">
        <v>39.630000000000003</v>
      </c>
      <c r="E101" s="251">
        <v>37.46</v>
      </c>
      <c r="F101" s="251">
        <f>C101*(E101-D101)</f>
        <v>-173.60000000000014</v>
      </c>
      <c r="G101" s="251">
        <f>D101*C101</f>
        <v>3170.4</v>
      </c>
      <c r="H101" s="265">
        <f>(E101-D101)/D101</f>
        <v>-5.4756497602826179E-2</v>
      </c>
      <c r="I101" s="265"/>
    </row>
    <row r="102" spans="2:9" x14ac:dyDescent="0.25">
      <c r="B102" s="255">
        <v>42426</v>
      </c>
      <c r="C102" s="250">
        <v>60</v>
      </c>
      <c r="D102" s="251">
        <v>40.03</v>
      </c>
      <c r="E102" s="251">
        <v>38.450000000000003</v>
      </c>
      <c r="F102" s="251">
        <f t="shared" ref="F102:F108" si="10">C102*(E102-D102)</f>
        <v>-94.799999999999898</v>
      </c>
      <c r="G102" s="251">
        <f t="shared" ref="G102:G108" si="11">D102*C102</f>
        <v>2401.8000000000002</v>
      </c>
      <c r="H102" s="265">
        <f t="shared" ref="H102:H108" si="12">(E102-D102)/D102</f>
        <v>-3.9470397202098384E-2</v>
      </c>
      <c r="I102" s="265"/>
    </row>
    <row r="103" spans="2:9" x14ac:dyDescent="0.25">
      <c r="B103" s="255">
        <v>42426</v>
      </c>
      <c r="C103" s="250">
        <v>30</v>
      </c>
      <c r="D103" s="251">
        <v>41.31</v>
      </c>
      <c r="E103" s="251">
        <v>38.44</v>
      </c>
      <c r="F103" s="251">
        <f t="shared" si="10"/>
        <v>-86.100000000000136</v>
      </c>
      <c r="G103" s="251">
        <f t="shared" si="11"/>
        <v>1239.3000000000002</v>
      </c>
      <c r="H103" s="263">
        <f t="shared" si="12"/>
        <v>-6.9474703461631676E-2</v>
      </c>
      <c r="I103" s="263"/>
    </row>
    <row r="104" spans="2:9" x14ac:dyDescent="0.25">
      <c r="B104" s="255">
        <v>42430</v>
      </c>
      <c r="C104" s="250">
        <v>30</v>
      </c>
      <c r="D104" s="251">
        <v>41.31</v>
      </c>
      <c r="E104" s="251">
        <v>39.51</v>
      </c>
      <c r="F104" s="251">
        <f t="shared" si="10"/>
        <v>-54.000000000000128</v>
      </c>
      <c r="G104" s="251">
        <f t="shared" si="11"/>
        <v>1239.3000000000002</v>
      </c>
      <c r="H104" s="263">
        <f t="shared" si="12"/>
        <v>-4.3572984749455437E-2</v>
      </c>
      <c r="I104" s="263"/>
    </row>
    <row r="105" spans="2:9" x14ac:dyDescent="0.25">
      <c r="B105" s="255">
        <v>42431</v>
      </c>
      <c r="C105" s="250">
        <v>30</v>
      </c>
      <c r="D105" s="251">
        <v>41.305</v>
      </c>
      <c r="E105" s="251">
        <v>40.31</v>
      </c>
      <c r="F105" s="251">
        <f t="shared" si="10"/>
        <v>-29.849999999999923</v>
      </c>
      <c r="G105" s="251">
        <f t="shared" si="11"/>
        <v>1239.1500000000001</v>
      </c>
      <c r="H105" s="263">
        <f t="shared" si="12"/>
        <v>-2.4089093330105251E-2</v>
      </c>
      <c r="I105" s="263"/>
    </row>
    <row r="106" spans="2:9" x14ac:dyDescent="0.25">
      <c r="B106" s="255">
        <v>42435</v>
      </c>
      <c r="C106" s="250">
        <v>30</v>
      </c>
      <c r="D106" s="251">
        <v>41.305</v>
      </c>
      <c r="E106" s="251">
        <v>40.98</v>
      </c>
      <c r="F106" s="251">
        <f t="shared" si="10"/>
        <v>-9.7500000000000853</v>
      </c>
      <c r="G106" s="251">
        <f t="shared" si="11"/>
        <v>1239.1500000000001</v>
      </c>
      <c r="H106" s="263">
        <f t="shared" si="12"/>
        <v>-7.8682968163661261E-3</v>
      </c>
      <c r="I106" s="263"/>
    </row>
    <row r="107" spans="2:9" x14ac:dyDescent="0.25">
      <c r="B107" s="255">
        <v>42436</v>
      </c>
      <c r="C107" s="250">
        <v>30</v>
      </c>
      <c r="D107" s="251">
        <v>41.305</v>
      </c>
      <c r="E107" s="251">
        <v>39.590000000000003</v>
      </c>
      <c r="F107" s="251">
        <f t="shared" si="10"/>
        <v>-51.449999999999889</v>
      </c>
      <c r="G107" s="251">
        <f t="shared" si="11"/>
        <v>1239.1500000000001</v>
      </c>
      <c r="H107" s="263">
        <f t="shared" si="12"/>
        <v>-4.1520397046362338E-2</v>
      </c>
      <c r="I107" s="263"/>
    </row>
    <row r="108" spans="2:9" x14ac:dyDescent="0.25">
      <c r="B108" s="255">
        <v>42444</v>
      </c>
      <c r="C108" s="250">
        <v>30</v>
      </c>
      <c r="D108" s="251">
        <v>41.305</v>
      </c>
      <c r="E108" s="251">
        <v>41.37</v>
      </c>
      <c r="F108" s="251">
        <f t="shared" si="10"/>
        <v>1.9499999999999318</v>
      </c>
      <c r="G108" s="251">
        <f t="shared" si="11"/>
        <v>1239.1500000000001</v>
      </c>
      <c r="H108" s="263">
        <f t="shared" si="12"/>
        <v>1.5736593632731564E-3</v>
      </c>
      <c r="I108" s="263"/>
    </row>
    <row r="109" spans="2:9" x14ac:dyDescent="0.25">
      <c r="B109" s="255">
        <v>42444</v>
      </c>
      <c r="C109" s="250">
        <v>30</v>
      </c>
      <c r="D109" s="251">
        <v>40.47983</v>
      </c>
      <c r="E109" s="251">
        <v>41.37</v>
      </c>
      <c r="F109" s="251">
        <f>C109*(E109-D109)</f>
        <v>26.705099999999931</v>
      </c>
      <c r="G109" s="251">
        <f>D109*C109</f>
        <v>1214.3949</v>
      </c>
      <c r="H109" s="263">
        <f>(E109-D109)/D109</f>
        <v>2.1990457963879731E-2</v>
      </c>
      <c r="I109" s="263" t="s">
        <v>182</v>
      </c>
    </row>
    <row r="110" spans="2:9" x14ac:dyDescent="0.25">
      <c r="B110" s="255">
        <v>42447</v>
      </c>
      <c r="C110" s="250">
        <v>0</v>
      </c>
      <c r="D110" s="251"/>
      <c r="E110" s="251"/>
      <c r="F110" s="251">
        <v>75.02</v>
      </c>
      <c r="G110" s="251"/>
      <c r="H110" s="263"/>
      <c r="I110" s="263"/>
    </row>
    <row r="111" spans="2:9" x14ac:dyDescent="0.25">
      <c r="B111" s="250"/>
      <c r="C111" s="250"/>
      <c r="D111" s="251"/>
      <c r="E111" s="251"/>
      <c r="F111" s="251"/>
      <c r="G111" s="251"/>
      <c r="H111" s="263"/>
      <c r="I111" s="263"/>
    </row>
    <row r="112" spans="2:9" x14ac:dyDescent="0.25">
      <c r="B112" s="250"/>
      <c r="C112" s="250"/>
      <c r="D112" s="251"/>
      <c r="E112" s="251"/>
      <c r="F112" s="251"/>
      <c r="G112" s="251"/>
      <c r="H112" s="263"/>
      <c r="I112" s="263"/>
    </row>
    <row r="113" spans="2:9" x14ac:dyDescent="0.25">
      <c r="B113" s="250"/>
      <c r="C113" s="250"/>
      <c r="D113" s="251"/>
      <c r="E113" s="251"/>
      <c r="F113" s="251"/>
      <c r="G113" s="251"/>
      <c r="H113" s="263"/>
      <c r="I113" s="263"/>
    </row>
    <row r="114" spans="2:9" x14ac:dyDescent="0.25">
      <c r="B114" s="250"/>
      <c r="C114" s="250"/>
      <c r="D114" s="251"/>
      <c r="E114" s="251"/>
      <c r="F114" s="251"/>
      <c r="G114" s="251"/>
      <c r="H114" s="263"/>
      <c r="I114" s="263"/>
    </row>
    <row r="115" spans="2:9" x14ac:dyDescent="0.25">
      <c r="B115" s="250"/>
      <c r="C115" s="250"/>
      <c r="D115" s="251"/>
      <c r="E115" s="251"/>
      <c r="F115" s="251"/>
      <c r="G115" s="251"/>
      <c r="H115" s="263"/>
      <c r="I115" s="263"/>
    </row>
    <row r="116" spans="2:9" x14ac:dyDescent="0.25">
      <c r="B116" s="250"/>
      <c r="C116" s="250"/>
      <c r="D116" s="251"/>
      <c r="E116" s="251"/>
      <c r="F116" s="251"/>
      <c r="G116" s="251"/>
      <c r="H116" s="263"/>
      <c r="I116" s="263"/>
    </row>
    <row r="117" spans="2:9" x14ac:dyDescent="0.25">
      <c r="B117" s="250"/>
      <c r="C117" s="250"/>
      <c r="D117" s="251"/>
      <c r="E117" s="251"/>
      <c r="F117" s="251"/>
      <c r="G117" s="251"/>
      <c r="H117" s="263"/>
      <c r="I117" s="263"/>
    </row>
  </sheetData>
  <conditionalFormatting sqref="O19:O39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7:F41 H42:H57 F56:F57 I59:K60 F61:F63 H61:H63 J61:K63 I53:L57 L59:L61 F68:F70 H68:K70 H77:K80 F77:F79 K71">
    <cfRule type="expression" dxfId="479" priority="71">
      <formula>F37&gt;0</formula>
    </cfRule>
    <cfRule type="expression" dxfId="478" priority="72">
      <formula>F37&lt;0</formula>
    </cfRule>
  </conditionalFormatting>
  <conditionalFormatting sqref="H37:H39">
    <cfRule type="expression" dxfId="477" priority="69">
      <formula>H37&gt;0</formula>
    </cfRule>
    <cfRule type="expression" dxfId="476" priority="70">
      <formula>H37&lt;0</formula>
    </cfRule>
  </conditionalFormatting>
  <conditionalFormatting sqref="H40">
    <cfRule type="expression" dxfId="475" priority="67">
      <formula>H40&gt;0</formula>
    </cfRule>
    <cfRule type="expression" dxfId="474" priority="68">
      <formula>H40&lt;0</formula>
    </cfRule>
  </conditionalFormatting>
  <conditionalFormatting sqref="H41">
    <cfRule type="expression" dxfId="473" priority="65">
      <formula>H41&gt;0</formula>
    </cfRule>
    <cfRule type="expression" dxfId="472" priority="66">
      <formula>H41&lt;0</formula>
    </cfRule>
  </conditionalFormatting>
  <conditionalFormatting sqref="F33:F36">
    <cfRule type="expression" dxfId="471" priority="61">
      <formula>F33&gt;0</formula>
    </cfRule>
    <cfRule type="expression" dxfId="470" priority="62">
      <formula>F33&lt;0</formula>
    </cfRule>
  </conditionalFormatting>
  <conditionalFormatting sqref="H33:H36">
    <cfRule type="expression" dxfId="469" priority="59">
      <formula>H33&gt;0</formula>
    </cfRule>
    <cfRule type="expression" dxfId="468" priority="60">
      <formula>H33&lt;0</formula>
    </cfRule>
  </conditionalFormatting>
  <conditionalFormatting sqref="F42:F43">
    <cfRule type="expression" dxfId="467" priority="55">
      <formula>F42&gt;0</formula>
    </cfRule>
    <cfRule type="expression" dxfId="466" priority="56">
      <formula>F42&lt;0</formula>
    </cfRule>
  </conditionalFormatting>
  <conditionalFormatting sqref="I37:L39">
    <cfRule type="expression" dxfId="465" priority="53">
      <formula>I37&gt;0</formula>
    </cfRule>
    <cfRule type="expression" dxfId="464" priority="54">
      <formula>I37&lt;0</formula>
    </cfRule>
  </conditionalFormatting>
  <conditionalFormatting sqref="I46:I51 I43:L44">
    <cfRule type="expression" dxfId="463" priority="47">
      <formula>I43&gt;0</formula>
    </cfRule>
    <cfRule type="expression" dxfId="462" priority="48">
      <formula>I43&lt;0</formula>
    </cfRule>
  </conditionalFormatting>
  <conditionalFormatting sqref="I33:L36">
    <cfRule type="expression" dxfId="461" priority="45">
      <formula>I33&gt;0</formula>
    </cfRule>
    <cfRule type="expression" dxfId="460" priority="46">
      <formula>I33&lt;0</formula>
    </cfRule>
  </conditionalFormatting>
  <conditionalFormatting sqref="F44:F55">
    <cfRule type="expression" dxfId="459" priority="43">
      <formula>F44&gt;0</formula>
    </cfRule>
    <cfRule type="expression" dxfId="458" priority="44">
      <formula>F44&lt;0</formula>
    </cfRule>
  </conditionalFormatting>
  <conditionalFormatting sqref="Q8">
    <cfRule type="expression" dxfId="457" priority="39">
      <formula>Q8&gt;0</formula>
    </cfRule>
    <cfRule type="expression" dxfId="456" priority="40">
      <formula>Q8&lt;0</formula>
    </cfRule>
  </conditionalFormatting>
  <conditionalFormatting sqref="Q7">
    <cfRule type="expression" dxfId="455" priority="41">
      <formula>Q7&gt;0</formula>
    </cfRule>
    <cfRule type="expression" dxfId="454" priority="42">
      <formula>Q7&lt;0</formula>
    </cfRule>
  </conditionalFormatting>
  <conditionalFormatting sqref="F103:F107">
    <cfRule type="expression" dxfId="453" priority="37">
      <formula>F103&gt;0</formula>
    </cfRule>
    <cfRule type="expression" dxfId="452" priority="38">
      <formula>F103&lt;0</formula>
    </cfRule>
  </conditionalFormatting>
  <conditionalFormatting sqref="H103:H105">
    <cfRule type="expression" dxfId="451" priority="35">
      <formula>H103&gt;0</formula>
    </cfRule>
    <cfRule type="expression" dxfId="450" priority="36">
      <formula>H103&lt;0</formula>
    </cfRule>
  </conditionalFormatting>
  <conditionalFormatting sqref="H106">
    <cfRule type="expression" dxfId="449" priority="33">
      <formula>H106&gt;0</formula>
    </cfRule>
    <cfRule type="expression" dxfId="448" priority="34">
      <formula>H106&lt;0</formula>
    </cfRule>
  </conditionalFormatting>
  <conditionalFormatting sqref="H107">
    <cfRule type="expression" dxfId="447" priority="31">
      <formula>H107&gt;0</formula>
    </cfRule>
    <cfRule type="expression" dxfId="446" priority="32">
      <formula>H107&lt;0</formula>
    </cfRule>
  </conditionalFormatting>
  <conditionalFormatting sqref="H108:H117">
    <cfRule type="expression" dxfId="445" priority="29">
      <formula>H108&gt;0</formula>
    </cfRule>
    <cfRule type="expression" dxfId="444" priority="30">
      <formula>H108&lt;0</formula>
    </cfRule>
  </conditionalFormatting>
  <conditionalFormatting sqref="F99:F102">
    <cfRule type="expression" dxfId="443" priority="27">
      <formula>F99&gt;0</formula>
    </cfRule>
    <cfRule type="expression" dxfId="442" priority="28">
      <formula>F99&lt;0</formula>
    </cfRule>
  </conditionalFormatting>
  <conditionalFormatting sqref="H99:H102">
    <cfRule type="expression" dxfId="441" priority="25">
      <formula>H99&gt;0</formula>
    </cfRule>
    <cfRule type="expression" dxfId="440" priority="26">
      <formula>H99&lt;0</formula>
    </cfRule>
  </conditionalFormatting>
  <conditionalFormatting sqref="F108:F109">
    <cfRule type="expression" dxfId="439" priority="23">
      <formula>F108&gt;0</formula>
    </cfRule>
    <cfRule type="expression" dxfId="438" priority="24">
      <formula>F108&lt;0</formula>
    </cfRule>
  </conditionalFormatting>
  <conditionalFormatting sqref="I103:I105">
    <cfRule type="expression" dxfId="437" priority="21">
      <formula>I103&gt;0</formula>
    </cfRule>
    <cfRule type="expression" dxfId="436" priority="22">
      <formula>I103&lt;0</formula>
    </cfRule>
  </conditionalFormatting>
  <conditionalFormatting sqref="I106">
    <cfRule type="expression" dxfId="435" priority="19">
      <formula>I106&gt;0</formula>
    </cfRule>
    <cfRule type="expression" dxfId="434" priority="20">
      <formula>I106&lt;0</formula>
    </cfRule>
  </conditionalFormatting>
  <conditionalFormatting sqref="I107">
    <cfRule type="expression" dxfId="433" priority="17">
      <formula>I107&gt;0</formula>
    </cfRule>
    <cfRule type="expression" dxfId="432" priority="18">
      <formula>I107&lt;0</formula>
    </cfRule>
  </conditionalFormatting>
  <conditionalFormatting sqref="I108:I117">
    <cfRule type="expression" dxfId="431" priority="15">
      <formula>I108&gt;0</formula>
    </cfRule>
    <cfRule type="expression" dxfId="430" priority="16">
      <formula>I108&lt;0</formula>
    </cfRule>
  </conditionalFormatting>
  <conditionalFormatting sqref="I99:I102">
    <cfRule type="expression" dxfId="429" priority="13">
      <formula>I99&gt;0</formula>
    </cfRule>
    <cfRule type="expression" dxfId="428" priority="14">
      <formula>I99&lt;0</formula>
    </cfRule>
  </conditionalFormatting>
  <conditionalFormatting sqref="F110">
    <cfRule type="expression" dxfId="427" priority="11">
      <formula>F110&gt;0</formula>
    </cfRule>
    <cfRule type="expression" dxfId="426" priority="12">
      <formula>F110&lt;0</formula>
    </cfRule>
  </conditionalFormatting>
  <conditionalFormatting sqref="F58:F60 H59:H60 H58:L58">
    <cfRule type="expression" dxfId="425" priority="9">
      <formula>F58&gt;0</formula>
    </cfRule>
    <cfRule type="expression" dxfId="424" priority="10">
      <formula>F58&lt;0</formula>
    </cfRule>
  </conditionalFormatting>
  <conditionalFormatting sqref="R4">
    <cfRule type="expression" dxfId="423" priority="7">
      <formula>R4&gt;0</formula>
    </cfRule>
    <cfRule type="expression" dxfId="422" priority="8">
      <formula>R4&lt;0</formula>
    </cfRule>
  </conditionalFormatting>
  <conditionalFormatting sqref="F64:F67 H64:K67">
    <cfRule type="expression" dxfId="421" priority="5">
      <formula>F64&gt;0</formula>
    </cfRule>
    <cfRule type="expression" dxfId="420" priority="6">
      <formula>F64&lt;0</formula>
    </cfRule>
  </conditionalFormatting>
  <conditionalFormatting sqref="H72:K76 F71:F76 H71:J71">
    <cfRule type="expression" dxfId="419" priority="1">
      <formula>F71&gt;0</formula>
    </cfRule>
    <cfRule type="expression" dxfId="418" priority="2">
      <formula>F71&lt;0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67.31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67.31</v>
      </c>
      <c r="R4" s="475">
        <v>-1.1999999999999999E-3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206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206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74.041000000000011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73.367900000000006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72.694800000000001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72.02170000000001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71.348600000000005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70.6755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70.002400000000009</v>
      </c>
      <c r="Q49" s="33"/>
      <c r="R49" s="33"/>
      <c r="T49" s="91" t="s">
        <v>121</v>
      </c>
      <c r="U49" s="86" t="s">
        <v>469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69.329300000000003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68.656199999999998</v>
      </c>
      <c r="Q51" s="81"/>
      <c r="R51" s="33"/>
      <c r="T51" s="91" t="s">
        <v>104</v>
      </c>
      <c r="U51" s="86" t="s">
        <v>627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67.983100000000007</v>
      </c>
      <c r="Q52" s="81"/>
      <c r="R52" s="33"/>
      <c r="T52" s="91" t="s">
        <v>105</v>
      </c>
      <c r="U52" s="86" t="s">
        <v>497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67.31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66.636899999999997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65.963800000000006</v>
      </c>
      <c r="Q55" s="81"/>
      <c r="R55" s="33"/>
      <c r="T55" s="91" t="s">
        <v>107</v>
      </c>
      <c r="U55" s="86" t="s">
        <v>628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65.290700000000001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64.617599999999996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63.944499999999998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335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63.2714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62.598300000000009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61.925200000000004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61.252100000000006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60.579000000000001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17" priority="11">
      <formula>Q8&gt;0</formula>
    </cfRule>
    <cfRule type="expression" dxfId="416" priority="12">
      <formula>Q8&lt;0</formula>
    </cfRule>
  </conditionalFormatting>
  <conditionalFormatting sqref="Q7">
    <cfRule type="expression" dxfId="415" priority="13">
      <formula>Q7&gt;0</formula>
    </cfRule>
    <cfRule type="expression" dxfId="414" priority="14">
      <formula>Q7&lt;0</formula>
    </cfRule>
  </conditionalFormatting>
  <conditionalFormatting sqref="F22">
    <cfRule type="expression" dxfId="413" priority="9">
      <formula>F22&gt;0</formula>
    </cfRule>
    <cfRule type="expression" dxfId="412" priority="10">
      <formula>F22&lt;0</formula>
    </cfRule>
  </conditionalFormatting>
  <conditionalFormatting sqref="H22">
    <cfRule type="expression" dxfId="411" priority="7">
      <formula>H22&gt;0</formula>
    </cfRule>
    <cfRule type="expression" dxfId="410" priority="8">
      <formula>H22&lt;0</formula>
    </cfRule>
  </conditionalFormatting>
  <conditionalFormatting sqref="F59">
    <cfRule type="expression" dxfId="409" priority="5">
      <formula>F59&gt;0</formula>
    </cfRule>
    <cfRule type="expression" dxfId="408" priority="6">
      <formula>F59&lt;0</formula>
    </cfRule>
  </conditionalFormatting>
  <conditionalFormatting sqref="H59">
    <cfRule type="expression" dxfId="407" priority="3">
      <formula>H59&gt;0</formula>
    </cfRule>
    <cfRule type="expression" dxfId="406" priority="4">
      <formula>H59&lt;0</formula>
    </cfRule>
  </conditionalFormatting>
  <conditionalFormatting sqref="M30">
    <cfRule type="expression" dxfId="405" priority="1">
      <formula>M30&gt;0</formula>
    </cfRule>
    <cfRule type="expression" dxfId="40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93.36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93.36</v>
      </c>
      <c r="R4" s="475">
        <v>-2.5999999999999999E-3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207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206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447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57" t="s">
        <v>78</v>
      </c>
      <c r="P35" s="857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102.69600000000001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101.76240000000001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100.8288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99.895200000000003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206</v>
      </c>
      <c r="M40" s="2">
        <f>K56+M56-F56</f>
        <v>523.61999999999898</v>
      </c>
      <c r="O40" s="81">
        <v>1.06</v>
      </c>
      <c r="P40" s="81">
        <f t="shared" si="3"/>
        <v>98.961600000000004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98.028000000000006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97.094400000000007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96.160800000000009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95.227199999999996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94.293599999999998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93.36</v>
      </c>
      <c r="Q46" s="2"/>
      <c r="T46" s="111" t="s">
        <v>103</v>
      </c>
      <c r="U46" s="104" t="s">
        <v>389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92.426400000000001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91.492800000000003</v>
      </c>
      <c r="Q48" s="2"/>
      <c r="T48" s="111" t="s">
        <v>104</v>
      </c>
      <c r="U48" s="104" t="s">
        <v>629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90.55919999999999</v>
      </c>
      <c r="T49" s="111" t="s">
        <v>105</v>
      </c>
      <c r="U49" s="104" t="s">
        <v>506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89.625599999999991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88.691999999999993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87.758399999999995</v>
      </c>
      <c r="T52" s="111" t="s">
        <v>107</v>
      </c>
      <c r="U52" s="104" t="s">
        <v>630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86.82480000000001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85.891199999999998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84.957599999999999</v>
      </c>
      <c r="T55" s="111" t="s">
        <v>108</v>
      </c>
      <c r="U55" s="104" t="s">
        <v>544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84.024000000000001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03" priority="19">
      <formula>F27&gt;0</formula>
    </cfRule>
    <cfRule type="expression" dxfId="402" priority="20">
      <formula>F27&lt;0</formula>
    </cfRule>
  </conditionalFormatting>
  <conditionalFormatting sqref="F37:F38">
    <cfRule type="expression" dxfId="401" priority="17">
      <formula>F37&gt;0</formula>
    </cfRule>
    <cfRule type="expression" dxfId="400" priority="18">
      <formula>F37&lt;0</formula>
    </cfRule>
  </conditionalFormatting>
  <conditionalFormatting sqref="H27:H32">
    <cfRule type="expression" dxfId="399" priority="15">
      <formula>H27&gt;0</formula>
    </cfRule>
    <cfRule type="expression" dxfId="398" priority="16">
      <formula>H27&lt;0</formula>
    </cfRule>
  </conditionalFormatting>
  <conditionalFormatting sqref="Q7">
    <cfRule type="expression" dxfId="397" priority="3">
      <formula>Q7&gt;0</formula>
    </cfRule>
    <cfRule type="expression" dxfId="396" priority="4">
      <formula>Q7&lt;0</formula>
    </cfRule>
  </conditionalFormatting>
  <conditionalFormatting sqref="Q8">
    <cfRule type="expression" dxfId="395" priority="1">
      <formula>Q8&gt;0</formula>
    </cfRule>
    <cfRule type="expression" dxfId="39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158.71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158.71</v>
      </c>
      <c r="R4" s="475">
        <v>0.01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207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206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174.58100000000002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172.99390000000002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171.40680000000003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169.81970000000001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168.23260000000002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166.64550000000003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165.05840000000001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163.47130000000001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161.88420000000002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160.2971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158.71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157.12290000000002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155.53579999999999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153.9487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152.36160000000001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150.77449999999999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149.1874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147.6003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146.01320000000001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144.42610000000002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142.839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393" priority="25">
      <formula>F24&gt;0</formula>
    </cfRule>
    <cfRule type="expression" dxfId="392" priority="26">
      <formula>F24&lt;0</formula>
    </cfRule>
  </conditionalFormatting>
  <conditionalFormatting sqref="H21:H27">
    <cfRule type="expression" dxfId="391" priority="19">
      <formula>H21&gt;0</formula>
    </cfRule>
    <cfRule type="expression" dxfId="390" priority="20">
      <formula>H21&lt;0</formula>
    </cfRule>
  </conditionalFormatting>
  <conditionalFormatting sqref="F21:F23">
    <cfRule type="expression" dxfId="389" priority="5">
      <formula>F21&gt;0</formula>
    </cfRule>
    <cfRule type="expression" dxfId="388" priority="6">
      <formula>F21&lt;0</formula>
    </cfRule>
  </conditionalFormatting>
  <conditionalFormatting sqref="Q8">
    <cfRule type="expression" dxfId="387" priority="1">
      <formula>Q8&gt;0</formula>
    </cfRule>
    <cfRule type="expression" dxfId="386" priority="2">
      <formula>Q8&lt;0</formula>
    </cfRule>
  </conditionalFormatting>
  <conditionalFormatting sqref="Q7">
    <cfRule type="expression" dxfId="385" priority="3">
      <formula>Q7&gt;0</formula>
    </cfRule>
    <cfRule type="expression" dxfId="38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250.56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250.56</v>
      </c>
      <c r="R4" s="475">
        <v>1.2699999999999999E-2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206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318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206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63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63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63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64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57" t="s">
        <v>78</v>
      </c>
      <c r="P41" s="857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275.61600000000004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273.11040000000003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270.60480000000001</v>
      </c>
      <c r="Q44" s="2"/>
      <c r="T44" s="132" t="s">
        <v>99</v>
      </c>
      <c r="U44" s="86" t="s">
        <v>631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268.0992</v>
      </c>
      <c r="Q45" s="2"/>
      <c r="T45" s="132" t="s">
        <v>100</v>
      </c>
      <c r="U45" s="86" t="s">
        <v>632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265.59360000000004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263.08800000000002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260.58240000000001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258.07679999999999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255.5712</v>
      </c>
      <c r="Q50" s="2"/>
      <c r="T50" s="132" t="s">
        <v>104</v>
      </c>
      <c r="U50" s="86" t="s">
        <v>633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253.06560000000002</v>
      </c>
      <c r="Q51" s="2"/>
      <c r="T51" s="132" t="s">
        <v>105</v>
      </c>
      <c r="U51" s="86" t="s">
        <v>493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250.56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248.05439999999999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245.5488</v>
      </c>
      <c r="Q54" s="2"/>
      <c r="T54" s="132" t="s">
        <v>107</v>
      </c>
      <c r="U54" s="86" t="s">
        <v>634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243.04319999999998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240.5376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238.03199999999998</v>
      </c>
      <c r="T57" s="132" t="s">
        <v>108</v>
      </c>
      <c r="U57" s="86" t="s">
        <v>545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235.5264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233.02080000000001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230.51520000000002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228.00960000000001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225.50400000000002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83" priority="11">
      <formula>F21&gt;0</formula>
    </cfRule>
    <cfRule type="expression" dxfId="382" priority="12">
      <formula>F21&lt;0</formula>
    </cfRule>
  </conditionalFormatting>
  <conditionalFormatting sqref="H21:H23">
    <cfRule type="expression" dxfId="381" priority="9">
      <formula>H21&gt;0</formula>
    </cfRule>
    <cfRule type="expression" dxfId="380" priority="10">
      <formula>H21&lt;0</formula>
    </cfRule>
  </conditionalFormatting>
  <conditionalFormatting sqref="Q8">
    <cfRule type="expression" dxfId="379" priority="1">
      <formula>Q8&gt;0</formula>
    </cfRule>
    <cfRule type="expression" dxfId="378" priority="2">
      <formula>Q8&lt;0</formula>
    </cfRule>
  </conditionalFormatting>
  <conditionalFormatting sqref="Q7">
    <cfRule type="expression" dxfId="377" priority="3">
      <formula>Q7&gt;0</formula>
    </cfRule>
    <cfRule type="expression" dxfId="37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240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71.3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71.3</v>
      </c>
      <c r="R4" s="475">
        <v>-6.7999999999999996E-3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207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206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57" t="s">
        <v>78</v>
      </c>
      <c r="P40" s="857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78.430000000000007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77.716999999999999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77.004000000000005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76.290999999999997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75.578000000000003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74.864999999999995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74.152000000000001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73.438999999999993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72.725999999999999</v>
      </c>
      <c r="Q49" s="2"/>
      <c r="T49" s="91" t="s">
        <v>121</v>
      </c>
      <c r="U49" s="86" t="s">
        <v>338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72.012999999999991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71.3</v>
      </c>
      <c r="Q51" s="2"/>
      <c r="T51" s="91" t="s">
        <v>104</v>
      </c>
      <c r="U51" s="86" t="s">
        <v>660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70.587000000000003</v>
      </c>
      <c r="Q52" s="2"/>
      <c r="T52" s="91" t="s">
        <v>105</v>
      </c>
      <c r="U52" s="86" t="s">
        <v>319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69.873999999999995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69.161000000000001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68.447999999999993</v>
      </c>
      <c r="T55" s="91" t="s">
        <v>107</v>
      </c>
      <c r="U55" s="86" t="s">
        <v>661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67.734999999999999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67.021999999999991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66.308999999999997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65.596000000000004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64.882999999999996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64.17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75" priority="15">
      <formula>F29&gt;0</formula>
    </cfRule>
    <cfRule type="expression" dxfId="374" priority="16">
      <formula>F29&lt;0</formula>
    </cfRule>
  </conditionalFormatting>
  <conditionalFormatting sqref="F34:F62">
    <cfRule type="expression" dxfId="373" priority="11">
      <formula>F34&gt;0</formula>
    </cfRule>
    <cfRule type="expression" dxfId="372" priority="12">
      <formula>F34&lt;0</formula>
    </cfRule>
  </conditionalFormatting>
  <conditionalFormatting sqref="F34:F62">
    <cfRule type="expression" dxfId="371" priority="13">
      <formula>F34&gt;0</formula>
    </cfRule>
    <cfRule type="expression" dxfId="370" priority="14">
      <formula>F34&lt;0</formula>
    </cfRule>
  </conditionalFormatting>
  <conditionalFormatting sqref="H29:H62">
    <cfRule type="expression" dxfId="369" priority="9">
      <formula>H29&gt;0</formula>
    </cfRule>
    <cfRule type="expression" dxfId="368" priority="10">
      <formula>H29&lt;0</formula>
    </cfRule>
  </conditionalFormatting>
  <conditionalFormatting sqref="F25:F28">
    <cfRule type="expression" dxfId="367" priority="7">
      <formula>F25&gt;0</formula>
    </cfRule>
    <cfRule type="expression" dxfId="366" priority="8">
      <formula>F25&lt;0</formula>
    </cfRule>
  </conditionalFormatting>
  <conditionalFormatting sqref="H25:H28">
    <cfRule type="expression" dxfId="365" priority="5">
      <formula>H25&gt;0</formula>
    </cfRule>
    <cfRule type="expression" dxfId="364" priority="6">
      <formula>H25&lt;0</formula>
    </cfRule>
  </conditionalFormatting>
  <conditionalFormatting sqref="Q7">
    <cfRule type="expression" dxfId="363" priority="3">
      <formula>Q7&gt;0</formula>
    </cfRule>
    <cfRule type="expression" dxfId="362" priority="4">
      <formula>Q7&lt;0</formula>
    </cfRule>
  </conditionalFormatting>
  <conditionalFormatting sqref="Q8">
    <cfRule type="expression" dxfId="361" priority="1">
      <formula>Q8&gt;0</formula>
    </cfRule>
    <cfRule type="expression" dxfId="36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9.7109375" bestFit="1" customWidth="1"/>
    <col min="20" max="20" width="18.5703125" customWidth="1"/>
    <col min="21" max="21" width="35.42578125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52</v>
      </c>
      <c r="B2" s="474">
        <v>43298</v>
      </c>
      <c r="C2" s="4">
        <v>200</v>
      </c>
      <c r="D2" s="3">
        <v>50.1</v>
      </c>
      <c r="E2" s="3">
        <v>0</v>
      </c>
      <c r="F2" s="3">
        <f>C2*D2+E2</f>
        <v>10020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250</v>
      </c>
      <c r="T2" s="1"/>
    </row>
    <row r="3" spans="1:21" x14ac:dyDescent="0.25">
      <c r="A3" s="22" t="s">
        <v>71</v>
      </c>
      <c r="B3" s="474">
        <v>43300</v>
      </c>
      <c r="C3">
        <v>50</v>
      </c>
      <c r="D3" s="2">
        <v>48.28</v>
      </c>
      <c r="E3" s="2">
        <v>0</v>
      </c>
      <c r="F3" s="3">
        <f>C3*D3+E3</f>
        <v>2414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49.735999999999997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49.32</v>
      </c>
      <c r="R4" s="492">
        <v>8.0000000000000004E-4</v>
      </c>
      <c r="T4" s="156"/>
      <c r="U4" s="1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12330</v>
      </c>
      <c r="T5" s="1">
        <v>43307</v>
      </c>
      <c r="U5" t="s">
        <v>1221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12434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952.73999999999796</v>
      </c>
      <c r="R7" s="29">
        <v>43329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-104</v>
      </c>
      <c r="T8" s="1">
        <v>43314</v>
      </c>
      <c r="U8" t="s">
        <v>1222</v>
      </c>
    </row>
    <row r="9" spans="1:21" x14ac:dyDescent="0.25"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-8.3641627794756312E-3</v>
      </c>
    </row>
    <row r="10" spans="1:21" x14ac:dyDescent="0.25">
      <c r="H10" s="70"/>
      <c r="O10" s="11" t="s">
        <v>206</v>
      </c>
      <c r="P10" s="33"/>
      <c r="Q10" s="2">
        <f>M67</f>
        <v>1056.739999999998</v>
      </c>
    </row>
    <row r="11" spans="1:21" x14ac:dyDescent="0.25">
      <c r="H11" s="70"/>
      <c r="O11" s="11" t="s">
        <v>176</v>
      </c>
      <c r="P11" s="33"/>
      <c r="Q11" s="134">
        <f>R11/Q4*4</f>
        <v>3.8605028386050282E-2</v>
      </c>
      <c r="R11">
        <v>0.47599999999999998</v>
      </c>
      <c r="T11" s="1">
        <v>43318</v>
      </c>
      <c r="U11" t="s">
        <v>1223</v>
      </c>
    </row>
    <row r="12" spans="1:21" x14ac:dyDescent="0.25">
      <c r="H12" s="70"/>
      <c r="O12" s="11" t="s">
        <v>938</v>
      </c>
      <c r="Q12" s="1" t="s">
        <v>1217</v>
      </c>
    </row>
    <row r="13" spans="1:21" x14ac:dyDescent="0.25">
      <c r="H13" s="70"/>
      <c r="O13" s="11" t="s">
        <v>965</v>
      </c>
      <c r="Q13">
        <f>Q4/(4.85+4.95)*2</f>
        <v>10.065306122448979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12434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965</v>
      </c>
      <c r="L24" s="220" t="s">
        <v>494</v>
      </c>
    </row>
    <row r="25" spans="1:13" x14ac:dyDescent="0.25">
      <c r="A25" s="4"/>
      <c r="B25" s="184">
        <v>43298</v>
      </c>
      <c r="C25" s="10">
        <v>200</v>
      </c>
      <c r="D25" s="39">
        <v>50.1</v>
      </c>
      <c r="E25" s="39">
        <v>50.1</v>
      </c>
      <c r="F25" s="39">
        <f t="shared" ref="F25" si="0">C25*(E25-D25)</f>
        <v>0</v>
      </c>
      <c r="G25" s="39">
        <f t="shared" ref="G25" si="1">D25*C25</f>
        <v>10020</v>
      </c>
      <c r="H25" s="222">
        <f t="shared" ref="H25" si="2">(E25-D25)/D25</f>
        <v>0</v>
      </c>
      <c r="I25" s="39"/>
      <c r="J25" s="39"/>
      <c r="K25" s="39"/>
      <c r="L25" s="39"/>
    </row>
    <row r="26" spans="1:13" x14ac:dyDescent="0.25">
      <c r="A26" s="4"/>
      <c r="B26" s="184">
        <v>43300</v>
      </c>
      <c r="C26" s="10">
        <v>250</v>
      </c>
      <c r="D26" s="39">
        <v>49.735999999999997</v>
      </c>
      <c r="E26" s="39">
        <v>49</v>
      </c>
      <c r="F26" s="39">
        <f t="shared" ref="F26" si="3">C26*(E26-D26)</f>
        <v>-183.99999999999926</v>
      </c>
      <c r="G26" s="39">
        <f t="shared" ref="G26" si="4">D26*C26</f>
        <v>12434</v>
      </c>
      <c r="H26" s="222">
        <f t="shared" ref="H26" si="5">(E26-D26)/D26</f>
        <v>-1.4798134148302982E-2</v>
      </c>
      <c r="I26" s="39"/>
      <c r="J26" s="39">
        <v>872.74</v>
      </c>
      <c r="K26" s="39">
        <v>10</v>
      </c>
      <c r="L26" s="39"/>
    </row>
    <row r="27" spans="1:13" x14ac:dyDescent="0.25">
      <c r="A27" s="4"/>
      <c r="B27" s="184">
        <v>43303</v>
      </c>
      <c r="C27" s="10">
        <v>250</v>
      </c>
      <c r="D27" s="39">
        <v>49.735999999999997</v>
      </c>
      <c r="E27" s="39">
        <v>48.8</v>
      </c>
      <c r="F27" s="39">
        <f t="shared" ref="F27" si="6">C27*(E27-D27)</f>
        <v>-234</v>
      </c>
      <c r="G27" s="39">
        <f t="shared" ref="G27" si="7">D27*C27</f>
        <v>12434</v>
      </c>
      <c r="H27" s="222">
        <f t="shared" ref="H27" si="8">(E27-D27)/D27</f>
        <v>-1.881936625382017E-2</v>
      </c>
      <c r="I27" s="39"/>
      <c r="J27" s="39"/>
      <c r="K27" s="39">
        <v>9.9589999999999996</v>
      </c>
      <c r="L27" s="39"/>
    </row>
    <row r="28" spans="1:13" x14ac:dyDescent="0.25">
      <c r="A28" s="4"/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</row>
    <row r="29" spans="1:1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</row>
    <row r="30" spans="1:1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</row>
    <row r="31" spans="1:1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7" t="s">
        <v>78</v>
      </c>
      <c r="P40" s="857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54.252000000000002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9">O42*$Q$4</f>
        <v>53.758800000000001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9"/>
        <v>53.265600000000006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9"/>
        <v>52.772400000000005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9"/>
        <v>52.279200000000003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9"/>
        <v>51.786000000000001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1.04</v>
      </c>
      <c r="P47" s="81">
        <f t="shared" si="9"/>
        <v>51.2928</v>
      </c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O48" s="81">
        <v>1.03</v>
      </c>
      <c r="P48" s="81">
        <f t="shared" si="9"/>
        <v>50.799599999999998</v>
      </c>
      <c r="Q48" s="2"/>
    </row>
    <row r="49" spans="2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O49" s="81">
        <v>1.02</v>
      </c>
      <c r="P49" s="81">
        <f t="shared" si="9"/>
        <v>50.306400000000004</v>
      </c>
      <c r="Q49" s="2"/>
    </row>
    <row r="50" spans="2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O50" s="81">
        <v>1.01</v>
      </c>
      <c r="P50" s="81">
        <f t="shared" si="9"/>
        <v>49.813200000000002</v>
      </c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O51" s="81">
        <v>1</v>
      </c>
      <c r="P51" s="81">
        <f t="shared" si="9"/>
        <v>49.32</v>
      </c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O52" s="81">
        <v>0.99</v>
      </c>
      <c r="P52" s="81">
        <f t="shared" si="9"/>
        <v>48.826799999999999</v>
      </c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O53" s="81">
        <v>0.98</v>
      </c>
      <c r="P53" s="81">
        <f t="shared" si="9"/>
        <v>48.333599999999997</v>
      </c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O54" s="81">
        <v>0.97</v>
      </c>
      <c r="P54" s="81">
        <f t="shared" si="9"/>
        <v>47.840400000000002</v>
      </c>
    </row>
    <row r="55" spans="2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O55" s="81">
        <v>0.96</v>
      </c>
      <c r="P55" s="81">
        <f t="shared" si="9"/>
        <v>47.347200000000001</v>
      </c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O56" s="81">
        <v>0.95</v>
      </c>
      <c r="P56" s="81">
        <f t="shared" si="9"/>
        <v>46.853999999999999</v>
      </c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O57" s="81">
        <v>0.94</v>
      </c>
      <c r="P57" s="81">
        <f t="shared" si="9"/>
        <v>46.360799999999998</v>
      </c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O58" s="81">
        <v>0.93</v>
      </c>
      <c r="P58" s="81">
        <f t="shared" si="9"/>
        <v>45.867600000000003</v>
      </c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  <c r="O59" s="81">
        <v>0.92</v>
      </c>
      <c r="P59" s="81">
        <f t="shared" si="9"/>
        <v>45.374400000000001</v>
      </c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  <c r="O60" s="81">
        <v>0.91</v>
      </c>
      <c r="P60" s="81">
        <f t="shared" si="9"/>
        <v>44.8812</v>
      </c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  <c r="O61" s="81">
        <v>0.9</v>
      </c>
      <c r="P61" s="81">
        <f t="shared" si="9"/>
        <v>44.387999999999998</v>
      </c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</row>
    <row r="69" spans="1:13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</row>
    <row r="70" spans="1:13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13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13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13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10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13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10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13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10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13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10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13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10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13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10"/>
        <v>1720</v>
      </c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10"/>
        <v>1812</v>
      </c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330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360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393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398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433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mergeCells count="1">
    <mergeCell ref="O40:P40"/>
  </mergeCells>
  <conditionalFormatting sqref="O41:O61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8:H56 F28:F56">
    <cfRule type="expression" dxfId="359" priority="87">
      <formula>F28&gt;0</formula>
    </cfRule>
    <cfRule type="expression" dxfId="358" priority="88">
      <formula>F28&lt;0</formula>
    </cfRule>
  </conditionalFormatting>
  <conditionalFormatting sqref="F57:F64 F66">
    <cfRule type="expression" dxfId="357" priority="83">
      <formula>F57&gt;0</formula>
    </cfRule>
    <cfRule type="expression" dxfId="356" priority="84">
      <formula>F57&lt;0</formula>
    </cfRule>
  </conditionalFormatting>
  <conditionalFormatting sqref="F57:F64 F66">
    <cfRule type="expression" dxfId="355" priority="85">
      <formula>F57&gt;0</formula>
    </cfRule>
    <cfRule type="expression" dxfId="354" priority="86">
      <formula>F57&lt;0</formula>
    </cfRule>
  </conditionalFormatting>
  <conditionalFormatting sqref="H57:H64 H66">
    <cfRule type="expression" dxfId="353" priority="81">
      <formula>H57&gt;0</formula>
    </cfRule>
    <cfRule type="expression" dxfId="352" priority="82">
      <formula>H57&lt;0</formula>
    </cfRule>
  </conditionalFormatting>
  <conditionalFormatting sqref="Q7">
    <cfRule type="expression" dxfId="351" priority="63">
      <formula>Q7&gt;0</formula>
    </cfRule>
    <cfRule type="expression" dxfId="350" priority="64">
      <formula>Q7&lt;0</formula>
    </cfRule>
  </conditionalFormatting>
  <conditionalFormatting sqref="Q8">
    <cfRule type="expression" dxfId="349" priority="61">
      <formula>Q8&gt;0</formula>
    </cfRule>
    <cfRule type="expression" dxfId="348" priority="62">
      <formula>Q8&lt;0</formula>
    </cfRule>
  </conditionalFormatting>
  <conditionalFormatting sqref="F93:F97 H93:H97 H99:H124 F99:F124">
    <cfRule type="expression" dxfId="347" priority="33">
      <formula>F93&gt;0</formula>
    </cfRule>
    <cfRule type="expression" dxfId="346" priority="34">
      <formula>F93&lt;0</formula>
    </cfRule>
  </conditionalFormatting>
  <conditionalFormatting sqref="F125:F132 F134">
    <cfRule type="expression" dxfId="345" priority="31">
      <formula>F125&gt;0</formula>
    </cfRule>
    <cfRule type="expression" dxfId="344" priority="32">
      <formula>F125&lt;0</formula>
    </cfRule>
  </conditionalFormatting>
  <conditionalFormatting sqref="M67">
    <cfRule type="expression" dxfId="343" priority="43">
      <formula>M67&gt;0</formula>
    </cfRule>
    <cfRule type="expression" dxfId="342" priority="44">
      <formula>M67&lt;0</formula>
    </cfRule>
  </conditionalFormatting>
  <conditionalFormatting sqref="F65">
    <cfRule type="expression" dxfId="341" priority="39">
      <formula>F65&gt;0</formula>
    </cfRule>
    <cfRule type="expression" dxfId="340" priority="40">
      <formula>F65&lt;0</formula>
    </cfRule>
  </conditionalFormatting>
  <conditionalFormatting sqref="F65">
    <cfRule type="expression" dxfId="339" priority="41">
      <formula>F65&gt;0</formula>
    </cfRule>
    <cfRule type="expression" dxfId="338" priority="42">
      <formula>F65&lt;0</formula>
    </cfRule>
  </conditionalFormatting>
  <conditionalFormatting sqref="H65">
    <cfRule type="expression" dxfId="337" priority="37">
      <formula>H65&gt;0</formula>
    </cfRule>
    <cfRule type="expression" dxfId="336" priority="38">
      <formula>H65&lt;0</formula>
    </cfRule>
  </conditionalFormatting>
  <conditionalFormatting sqref="F125:F132 F134">
    <cfRule type="expression" dxfId="335" priority="29">
      <formula>F125&gt;0</formula>
    </cfRule>
    <cfRule type="expression" dxfId="334" priority="30">
      <formula>F125&lt;0</formula>
    </cfRule>
  </conditionalFormatting>
  <conditionalFormatting sqref="H125:H132 H134">
    <cfRule type="expression" dxfId="333" priority="27">
      <formula>H125&gt;0</formula>
    </cfRule>
    <cfRule type="expression" dxfId="332" priority="28">
      <formula>H125&lt;0</formula>
    </cfRule>
  </conditionalFormatting>
  <conditionalFormatting sqref="F92">
    <cfRule type="expression" dxfId="331" priority="25">
      <formula>F92&gt;0</formula>
    </cfRule>
    <cfRule type="expression" dxfId="330" priority="26">
      <formula>F92&lt;0</formula>
    </cfRule>
  </conditionalFormatting>
  <conditionalFormatting sqref="H92">
    <cfRule type="expression" dxfId="329" priority="23">
      <formula>H92&gt;0</formula>
    </cfRule>
    <cfRule type="expression" dxfId="328" priority="24">
      <formula>H92&lt;0</formula>
    </cfRule>
  </conditionalFormatting>
  <conditionalFormatting sqref="F133">
    <cfRule type="expression" dxfId="327" priority="19">
      <formula>F133&gt;0</formula>
    </cfRule>
    <cfRule type="expression" dxfId="326" priority="20">
      <formula>F133&lt;0</formula>
    </cfRule>
  </conditionalFormatting>
  <conditionalFormatting sqref="F133">
    <cfRule type="expression" dxfId="325" priority="21">
      <formula>F133&gt;0</formula>
    </cfRule>
    <cfRule type="expression" dxfId="324" priority="22">
      <formula>F133&lt;0</formula>
    </cfRule>
  </conditionalFormatting>
  <conditionalFormatting sqref="H133">
    <cfRule type="expression" dxfId="323" priority="17">
      <formula>H133&gt;0</formula>
    </cfRule>
    <cfRule type="expression" dxfId="322" priority="18">
      <formula>H133&lt;0</formula>
    </cfRule>
  </conditionalFormatting>
  <conditionalFormatting sqref="F98 H98">
    <cfRule type="expression" dxfId="321" priority="15">
      <formula>F98&gt;0</formula>
    </cfRule>
    <cfRule type="expression" dxfId="320" priority="16">
      <formula>F98&lt;0</formula>
    </cfRule>
  </conditionalFormatting>
  <conditionalFormatting sqref="J25:J66">
    <cfRule type="expression" dxfId="319" priority="13">
      <formula>J25&gt;0</formula>
    </cfRule>
    <cfRule type="expression" dxfId="318" priority="14">
      <formula>J25&lt;0</formula>
    </cfRule>
  </conditionalFormatting>
  <conditionalFormatting sqref="K38:K66">
    <cfRule type="expression" dxfId="317" priority="11">
      <formula>K38&gt;0</formula>
    </cfRule>
    <cfRule type="expression" dxfId="316" priority="12">
      <formula>K38&lt;0</formula>
    </cfRule>
  </conditionalFormatting>
  <conditionalFormatting sqref="L25">
    <cfRule type="expression" dxfId="315" priority="9">
      <formula>L25&gt;0</formula>
    </cfRule>
    <cfRule type="expression" dxfId="314" priority="10">
      <formula>L25&lt;0</formula>
    </cfRule>
  </conditionalFormatting>
  <conditionalFormatting sqref="F25:F27">
    <cfRule type="expression" dxfId="313" priority="7">
      <formula>F25&gt;0</formula>
    </cfRule>
    <cfRule type="expression" dxfId="312" priority="8">
      <formula>F25&lt;0</formula>
    </cfRule>
  </conditionalFormatting>
  <conditionalFormatting sqref="H25:H27">
    <cfRule type="expression" dxfId="311" priority="5">
      <formula>H25&gt;0</formula>
    </cfRule>
    <cfRule type="expression" dxfId="310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 t="shared" ref="F2:F7" si="0"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198</v>
      </c>
    </row>
    <row r="3" spans="1:21" x14ac:dyDescent="0.25">
      <c r="A3" s="22" t="s">
        <v>71</v>
      </c>
      <c r="B3" s="434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434">
        <v>43291</v>
      </c>
      <c r="H3" s="7">
        <v>50</v>
      </c>
      <c r="I3" s="43">
        <v>50.62</v>
      </c>
      <c r="J3" s="43">
        <v>0.03</v>
      </c>
      <c r="K3" s="43">
        <f>H3*I3-J3</f>
        <v>2530.9699999999998</v>
      </c>
      <c r="L3" s="72">
        <v>43252</v>
      </c>
      <c r="M3" s="43">
        <v>30.5</v>
      </c>
      <c r="O3" s="11" t="s">
        <v>58</v>
      </c>
      <c r="Q3" s="221">
        <f>IF(Q2=0, Q4, (F29-K29-M29)/Q2)</f>
        <v>41.297200000000011</v>
      </c>
      <c r="T3" s="29">
        <v>42565</v>
      </c>
      <c r="U3" t="s">
        <v>230</v>
      </c>
    </row>
    <row r="4" spans="1:21" x14ac:dyDescent="0.25">
      <c r="B4" s="434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434">
        <v>43298</v>
      </c>
      <c r="H4" s="80">
        <v>50</v>
      </c>
      <c r="I4" s="43">
        <v>51.75</v>
      </c>
      <c r="J4" s="43">
        <v>0.03</v>
      </c>
      <c r="K4" s="43">
        <f>H4*I4-J4</f>
        <v>2587.4699999999998</v>
      </c>
      <c r="L4" s="4"/>
      <c r="M4" s="4"/>
      <c r="O4" s="11" t="s">
        <v>66</v>
      </c>
      <c r="Q4" s="192">
        <v>54.459899999999998</v>
      </c>
      <c r="R4" s="494">
        <v>8.8999999999999999E-3</v>
      </c>
      <c r="T4" s="29">
        <v>42568</v>
      </c>
      <c r="U4" t="s">
        <v>239</v>
      </c>
    </row>
    <row r="5" spans="1:21" x14ac:dyDescent="0.25">
      <c r="A5" t="s">
        <v>1211</v>
      </c>
      <c r="B5" s="434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434">
        <v>43299</v>
      </c>
      <c r="H5" s="80">
        <v>50</v>
      </c>
      <c r="I5" s="43">
        <v>52.5</v>
      </c>
      <c r="J5" s="43">
        <v>0.03</v>
      </c>
      <c r="K5" s="43">
        <f>H5*I5-J5</f>
        <v>2624.97</v>
      </c>
      <c r="L5" s="4"/>
      <c r="M5" s="4"/>
      <c r="O5" s="11" t="s">
        <v>67</v>
      </c>
      <c r="Q5" s="3">
        <f>Q4*Q2</f>
        <v>5445.99</v>
      </c>
      <c r="T5" s="29">
        <v>42592</v>
      </c>
      <c r="U5" t="s">
        <v>257</v>
      </c>
    </row>
    <row r="6" spans="1:21" x14ac:dyDescent="0.25">
      <c r="B6" s="474">
        <v>43279</v>
      </c>
      <c r="C6" s="4">
        <v>50</v>
      </c>
      <c r="D6" s="3">
        <v>49.08</v>
      </c>
      <c r="E6" s="3">
        <v>0</v>
      </c>
      <c r="F6" s="3">
        <f t="shared" si="0"/>
        <v>2454</v>
      </c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4129.7200000000012</v>
      </c>
      <c r="T6" s="29">
        <v>42647</v>
      </c>
      <c r="U6" t="s">
        <v>261</v>
      </c>
    </row>
    <row r="7" spans="1:21" x14ac:dyDescent="0.25">
      <c r="B7" s="474">
        <v>43292</v>
      </c>
      <c r="C7" s="4">
        <v>50</v>
      </c>
      <c r="D7" s="3">
        <v>49.02</v>
      </c>
      <c r="E7" s="3">
        <v>0</v>
      </c>
      <c r="F7" s="3">
        <f t="shared" si="0"/>
        <v>2451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2514.7399999999957</v>
      </c>
      <c r="R7" s="29">
        <v>43311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1316.2699999999986</v>
      </c>
      <c r="R8" s="411"/>
      <c r="T8" s="29">
        <v>43202</v>
      </c>
      <c r="U8" t="s">
        <v>990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207</v>
      </c>
      <c r="Q9" s="134">
        <f>IF(Q2=0, 0, Q8/Q6)</f>
        <v>0.31873105198415347</v>
      </c>
      <c r="T9" s="29"/>
      <c r="U9" s="475" t="s">
        <v>991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206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2.2401803896077665E-2</v>
      </c>
      <c r="R11">
        <f>0.305</f>
        <v>0.30499999999999999</v>
      </c>
      <c r="T11" s="29">
        <v>43257</v>
      </c>
      <c r="U11" t="s">
        <v>1112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987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965</v>
      </c>
      <c r="Q13" s="2">
        <f>Q4/(5.35+5.7)*2</f>
        <v>9.8569954751131217</v>
      </c>
      <c r="T13" s="29">
        <v>43288</v>
      </c>
      <c r="U13" t="s">
        <v>1166</v>
      </c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  <c r="U14" t="s">
        <v>1168</v>
      </c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  <c r="U15" t="s">
        <v>1167</v>
      </c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  <c r="U16" t="s">
        <v>1169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1170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1171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1192</v>
      </c>
    </row>
    <row r="23" spans="1:21" x14ac:dyDescent="0.25">
      <c r="T23" s="156">
        <v>43298</v>
      </c>
      <c r="U23" t="s">
        <v>1210</v>
      </c>
    </row>
    <row r="24" spans="1:21" x14ac:dyDescent="0.25">
      <c r="T24" s="67"/>
    </row>
    <row r="25" spans="1:21" x14ac:dyDescent="0.25">
      <c r="T25" s="156">
        <v>43307</v>
      </c>
      <c r="U25" t="s">
        <v>1200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350</v>
      </c>
      <c r="D29" s="18"/>
      <c r="E29" s="18"/>
      <c r="F29" s="18">
        <f>SUM(F2:F19)</f>
        <v>17512</v>
      </c>
      <c r="G29" s="14"/>
      <c r="H29" s="71">
        <f>SUM(H2:H28)</f>
        <v>250</v>
      </c>
      <c r="I29" s="18"/>
      <c r="J29" s="18"/>
      <c r="K29" s="18">
        <f>SUM(K2:K28)</f>
        <v>13321.279999999999</v>
      </c>
      <c r="L29" s="14"/>
      <c r="M29" s="18">
        <f>SUM(M2:M28)</f>
        <v>61</v>
      </c>
    </row>
    <row r="30" spans="1:21" ht="15.75" thickBot="1" x14ac:dyDescent="0.3">
      <c r="A30" s="341" t="s">
        <v>193</v>
      </c>
      <c r="B30" s="342"/>
      <c r="C30" s="343">
        <f>SumByColor($A$30,C2:C28)</f>
        <v>250</v>
      </c>
      <c r="D30" s="343"/>
      <c r="E30" s="343"/>
      <c r="F30" s="344">
        <f>SumByColor($A$30,F2:F28)</f>
        <v>12608</v>
      </c>
      <c r="G30" s="343"/>
      <c r="H30" s="343">
        <f>SumByColor($A$30,H2:H28)</f>
        <v>250</v>
      </c>
      <c r="I30" s="343"/>
      <c r="J30" s="343"/>
      <c r="K30" s="344">
        <f>SumByColor($A$30,K2:K28)</f>
        <v>13321</v>
      </c>
      <c r="L30" s="343"/>
      <c r="M30" s="344">
        <f>SumByColor($A$30,M2:M28)</f>
        <v>60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51" si="1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f t="shared" si="1"/>
        <v>657.36999999999955</v>
      </c>
      <c r="G41" s="39">
        <f>D41*C41</f>
        <v>4504.63</v>
      </c>
      <c r="H41" s="222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1"/>
        <v>967.9000000000002</v>
      </c>
      <c r="G42" s="39">
        <f t="shared" ref="G42:G51" si="2">D42*C42</f>
        <v>4474.1000000000004</v>
      </c>
      <c r="H42" s="222">
        <f t="shared" ref="H42:H51" si="3">(E42-D42)/D42</f>
        <v>0.21633401130953717</v>
      </c>
      <c r="I42" s="39"/>
      <c r="J42" s="39">
        <v>2166</v>
      </c>
      <c r="O42" s="857" t="s">
        <v>78</v>
      </c>
      <c r="P42" s="857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1"/>
        <v>655.99999999999955</v>
      </c>
      <c r="G43" s="39">
        <f t="shared" si="2"/>
        <v>4474</v>
      </c>
      <c r="H43" s="222">
        <f t="shared" si="3"/>
        <v>0.1466249441215913</v>
      </c>
      <c r="I43" s="39"/>
      <c r="J43" s="39">
        <v>1855</v>
      </c>
      <c r="O43" s="81">
        <v>1.1000000000000001</v>
      </c>
      <c r="P43" s="81">
        <f>O43*$Q$4</f>
        <v>59.905889999999999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1"/>
        <v>515.37000000000012</v>
      </c>
      <c r="G44" s="39">
        <f t="shared" si="2"/>
        <v>6968.13</v>
      </c>
      <c r="H44" s="222">
        <f t="shared" si="3"/>
        <v>7.3961019670987782E-2</v>
      </c>
      <c r="I44" s="39"/>
      <c r="J44" s="39">
        <v>1714</v>
      </c>
      <c r="O44" s="81">
        <v>1.0900000000000001</v>
      </c>
      <c r="P44" s="81">
        <f t="shared" ref="P44:P63" si="4">O44*$Q$4</f>
        <v>59.361291000000001</v>
      </c>
      <c r="Q44" s="2"/>
    </row>
    <row r="45" spans="1:17" x14ac:dyDescent="0.25">
      <c r="A45">
        <v>100</v>
      </c>
      <c r="B45" s="184">
        <v>43279</v>
      </c>
      <c r="C45" s="10">
        <v>200</v>
      </c>
      <c r="D45" s="39">
        <v>47.110700000000001</v>
      </c>
      <c r="E45" s="39">
        <v>49.8</v>
      </c>
      <c r="F45" s="39">
        <f t="shared" si="1"/>
        <v>537.85999999999922</v>
      </c>
      <c r="G45" s="39">
        <f t="shared" si="2"/>
        <v>9422.14</v>
      </c>
      <c r="H45" s="222">
        <f t="shared" si="3"/>
        <v>5.7084696257962537E-2</v>
      </c>
      <c r="I45" s="39"/>
      <c r="J45" s="39">
        <v>1736</v>
      </c>
      <c r="O45" s="81">
        <v>1.08</v>
      </c>
      <c r="P45" s="81">
        <f t="shared" si="4"/>
        <v>58.816692000000003</v>
      </c>
      <c r="Q45" s="2"/>
    </row>
    <row r="46" spans="1:17" x14ac:dyDescent="0.25">
      <c r="A46">
        <v>100</v>
      </c>
      <c r="B46" s="184">
        <v>43283</v>
      </c>
      <c r="C46" s="7">
        <v>200</v>
      </c>
      <c r="D46" s="43">
        <v>47.110700000000001</v>
      </c>
      <c r="E46" s="39">
        <v>49.92</v>
      </c>
      <c r="F46" s="39">
        <f t="shared" si="1"/>
        <v>561.86000000000013</v>
      </c>
      <c r="G46" s="39">
        <f t="shared" si="2"/>
        <v>9422.14</v>
      </c>
      <c r="H46" s="222">
        <f t="shared" si="3"/>
        <v>5.9631888297138447E-2</v>
      </c>
      <c r="I46" s="39"/>
      <c r="J46" s="39">
        <v>1760</v>
      </c>
      <c r="O46" s="81">
        <v>1.07</v>
      </c>
      <c r="P46" s="81">
        <f t="shared" si="4"/>
        <v>58.272092999999998</v>
      </c>
      <c r="Q46" s="2"/>
    </row>
    <row r="47" spans="1:17" x14ac:dyDescent="0.25">
      <c r="A47">
        <v>50</v>
      </c>
      <c r="B47" s="184">
        <v>43291</v>
      </c>
      <c r="C47" s="10">
        <v>150</v>
      </c>
      <c r="D47" s="39">
        <v>45.941099999999999</v>
      </c>
      <c r="E47" s="39">
        <v>50.62</v>
      </c>
      <c r="F47" s="39">
        <f t="shared" si="1"/>
        <v>701.83499999999981</v>
      </c>
      <c r="G47" s="39">
        <f t="shared" si="2"/>
        <v>6891.165</v>
      </c>
      <c r="H47" s="222">
        <f t="shared" si="3"/>
        <v>0.10184562407082109</v>
      </c>
      <c r="I47" s="39"/>
      <c r="J47" s="39">
        <v>1900</v>
      </c>
      <c r="O47" s="81">
        <v>1.06</v>
      </c>
      <c r="P47" s="81">
        <f t="shared" si="4"/>
        <v>57.727494</v>
      </c>
      <c r="Q47" s="2"/>
    </row>
    <row r="48" spans="1:17" x14ac:dyDescent="0.25">
      <c r="A48">
        <v>50</v>
      </c>
      <c r="B48" s="184">
        <v>43292</v>
      </c>
      <c r="C48" s="7">
        <v>200</v>
      </c>
      <c r="D48" s="43">
        <v>46.71</v>
      </c>
      <c r="E48" s="39">
        <v>49.36</v>
      </c>
      <c r="F48" s="39">
        <f t="shared" si="1"/>
        <v>529.99999999999977</v>
      </c>
      <c r="G48" s="39">
        <f t="shared" si="2"/>
        <v>9342</v>
      </c>
      <c r="H48" s="222">
        <f t="shared" si="3"/>
        <v>5.6733033611646298E-2</v>
      </c>
      <c r="I48" s="39"/>
      <c r="J48" s="39">
        <v>1728</v>
      </c>
      <c r="O48" s="81">
        <v>1.05</v>
      </c>
      <c r="P48" s="81">
        <f t="shared" si="4"/>
        <v>57.182895000000002</v>
      </c>
      <c r="Q48" s="2"/>
    </row>
    <row r="49" spans="1:17" x14ac:dyDescent="0.25">
      <c r="A49">
        <v>50</v>
      </c>
      <c r="B49" s="184">
        <v>43295</v>
      </c>
      <c r="C49" s="271">
        <v>200</v>
      </c>
      <c r="D49" s="326">
        <v>46.71</v>
      </c>
      <c r="E49" s="39">
        <v>50.77</v>
      </c>
      <c r="F49" s="39">
        <f t="shared" si="1"/>
        <v>812.00000000000045</v>
      </c>
      <c r="G49" s="39">
        <f t="shared" si="2"/>
        <v>9342</v>
      </c>
      <c r="H49" s="222">
        <f t="shared" si="3"/>
        <v>8.6919289231428012E-2</v>
      </c>
      <c r="I49" s="39"/>
      <c r="J49" s="39">
        <v>2010</v>
      </c>
      <c r="O49" s="81">
        <v>1.04</v>
      </c>
      <c r="P49" s="81">
        <f t="shared" si="4"/>
        <v>56.638295999999997</v>
      </c>
      <c r="Q49" s="2"/>
    </row>
    <row r="50" spans="1:17" x14ac:dyDescent="0.25">
      <c r="A50">
        <v>0</v>
      </c>
      <c r="B50" s="184">
        <v>43298</v>
      </c>
      <c r="C50" s="271">
        <v>150</v>
      </c>
      <c r="D50" s="326">
        <v>45.031300000000002</v>
      </c>
      <c r="E50" s="39">
        <v>51.14</v>
      </c>
      <c r="F50" s="39">
        <f t="shared" si="1"/>
        <v>916.30499999999984</v>
      </c>
      <c r="G50" s="39">
        <f t="shared" si="2"/>
        <v>6754.6950000000006</v>
      </c>
      <c r="H50" s="222">
        <f t="shared" si="3"/>
        <v>0.13565453362439012</v>
      </c>
      <c r="I50" s="39"/>
      <c r="J50" s="39">
        <v>2114.7800000000002</v>
      </c>
      <c r="O50" s="81">
        <v>1.03</v>
      </c>
      <c r="P50" s="81">
        <f t="shared" si="4"/>
        <v>56.093696999999999</v>
      </c>
      <c r="Q50" s="2"/>
    </row>
    <row r="51" spans="1:17" x14ac:dyDescent="0.25">
      <c r="A51" t="s">
        <v>1212</v>
      </c>
      <c r="B51" s="184">
        <v>43299</v>
      </c>
      <c r="C51" s="10">
        <v>100</v>
      </c>
      <c r="D51" s="39">
        <v>41.297199999999997</v>
      </c>
      <c r="E51" s="39">
        <v>52.5</v>
      </c>
      <c r="F51" s="39">
        <f t="shared" si="1"/>
        <v>1120.2800000000004</v>
      </c>
      <c r="G51" s="39">
        <f t="shared" si="2"/>
        <v>4129.7199999999993</v>
      </c>
      <c r="H51" s="222">
        <f t="shared" si="3"/>
        <v>0.27127262865279012</v>
      </c>
      <c r="I51" s="39"/>
      <c r="J51" s="39">
        <v>2319</v>
      </c>
      <c r="O51" s="81">
        <v>1.02</v>
      </c>
      <c r="P51" s="81">
        <f>O51*$Q$4</f>
        <v>55.549098000000001</v>
      </c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O52" s="81">
        <v>1.01</v>
      </c>
      <c r="P52" s="81">
        <f t="shared" si="4"/>
        <v>55.004498999999996</v>
      </c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O53" s="81">
        <v>1</v>
      </c>
      <c r="P53" s="81">
        <f t="shared" si="4"/>
        <v>54.459899999999998</v>
      </c>
      <c r="Q53" s="2"/>
    </row>
    <row r="54" spans="1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4"/>
        <v>53.915300999999999</v>
      </c>
    </row>
    <row r="55" spans="1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4"/>
        <v>53.370701999999994</v>
      </c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4"/>
        <v>52.826102999999996</v>
      </c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4"/>
        <v>52.281503999999998</v>
      </c>
    </row>
    <row r="58" spans="1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4"/>
        <v>51.736904999999993</v>
      </c>
    </row>
    <row r="59" spans="1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4"/>
        <v>51.192305999999995</v>
      </c>
    </row>
    <row r="60" spans="1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4"/>
        <v>50.647706999999997</v>
      </c>
    </row>
    <row r="61" spans="1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4"/>
        <v>50.103107999999999</v>
      </c>
    </row>
    <row r="62" spans="1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4"/>
        <v>49.558509000000001</v>
      </c>
    </row>
    <row r="63" spans="1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4"/>
        <v>49.013909999999996</v>
      </c>
    </row>
    <row r="64" spans="1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206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5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5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5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5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5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5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5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5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5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6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5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6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5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6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5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6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6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6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6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7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7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7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7"/>
        <v>-357.95999999999992</v>
      </c>
      <c r="G163" s="251">
        <f t="shared" ref="G163:G212" si="8">D163*C163</f>
        <v>8471.9599999999991</v>
      </c>
      <c r="H163" s="265">
        <f t="shared" ref="H163:H212" si="9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7"/>
        <v>-723.96000000000095</v>
      </c>
      <c r="G164" s="251">
        <f t="shared" si="8"/>
        <v>12456.960000000001</v>
      </c>
      <c r="H164" s="265">
        <f t="shared" si="9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7"/>
        <v>-1033.9599999999991</v>
      </c>
      <c r="G165" s="251">
        <f t="shared" si="8"/>
        <v>16241.960000000001</v>
      </c>
      <c r="H165" s="265">
        <f t="shared" si="9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7"/>
        <v>-773.95999999999958</v>
      </c>
      <c r="G166" s="251">
        <f t="shared" si="8"/>
        <v>16241.960000000001</v>
      </c>
      <c r="H166" s="265">
        <f t="shared" si="9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7"/>
        <v>-687.9499999999972</v>
      </c>
      <c r="G167" s="251">
        <f t="shared" si="8"/>
        <v>19842.949999999997</v>
      </c>
      <c r="H167" s="265">
        <f t="shared" si="9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7"/>
        <v>-2153.5499999999993</v>
      </c>
      <c r="G168" s="251">
        <f t="shared" si="8"/>
        <v>19743.55</v>
      </c>
      <c r="H168" s="265">
        <f t="shared" si="9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7"/>
        <v>-3115.5599999999995</v>
      </c>
      <c r="G169" s="251">
        <f t="shared" si="8"/>
        <v>23131.559999999998</v>
      </c>
      <c r="H169" s="265">
        <f t="shared" si="9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7"/>
        <v>-2329.5599999999977</v>
      </c>
      <c r="G170" s="251">
        <f t="shared" si="8"/>
        <v>23131.559999999998</v>
      </c>
      <c r="H170" s="265">
        <f t="shared" si="9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7"/>
        <v>-1069.559999999997</v>
      </c>
      <c r="G171" s="251">
        <f t="shared" si="8"/>
        <v>23131.559999999998</v>
      </c>
      <c r="H171" s="265">
        <f t="shared" si="9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7"/>
        <v>-1759.5600000000004</v>
      </c>
      <c r="G172" s="251">
        <f t="shared" si="8"/>
        <v>23131.559999999998</v>
      </c>
      <c r="H172" s="265">
        <f t="shared" si="9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7"/>
        <v>-709.5600000000004</v>
      </c>
      <c r="G173" s="251">
        <f t="shared" si="8"/>
        <v>23131.559999999998</v>
      </c>
      <c r="H173" s="265">
        <f t="shared" si="9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7"/>
        <v>-259.56000000000046</v>
      </c>
      <c r="G174" s="251">
        <f t="shared" si="8"/>
        <v>23131.559999999998</v>
      </c>
      <c r="H174" s="265">
        <f t="shared" si="9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7"/>
        <v>907.39999999999907</v>
      </c>
      <c r="G175" s="251">
        <f t="shared" si="8"/>
        <v>19197.600000000002</v>
      </c>
      <c r="H175" s="265">
        <f t="shared" si="9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7"/>
        <v>842.27999999999952</v>
      </c>
      <c r="G176" s="251">
        <f t="shared" si="8"/>
        <v>15149.72</v>
      </c>
      <c r="H176" s="265">
        <f t="shared" si="9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7"/>
        <v>890.28000000000134</v>
      </c>
      <c r="G177" s="251">
        <f t="shared" si="8"/>
        <v>15149.72</v>
      </c>
      <c r="H177" s="265">
        <f t="shared" si="9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7"/>
        <v>1062.2800000000011</v>
      </c>
      <c r="G178" s="251">
        <f t="shared" si="8"/>
        <v>15149.72</v>
      </c>
      <c r="H178" s="265">
        <f t="shared" si="9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7"/>
        <v>1021.2000000000011</v>
      </c>
      <c r="G179" s="251">
        <f t="shared" si="8"/>
        <v>11041.8</v>
      </c>
      <c r="H179" s="265">
        <f t="shared" si="9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7"/>
        <v>511.21000000000231</v>
      </c>
      <c r="G180" s="251">
        <f t="shared" si="8"/>
        <v>12970.789999999999</v>
      </c>
      <c r="H180" s="265">
        <f t="shared" si="9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7"/>
        <v>665.21000000000151</v>
      </c>
      <c r="G181" s="251">
        <f t="shared" si="8"/>
        <v>12970.789999999999</v>
      </c>
      <c r="H181" s="265">
        <f t="shared" si="9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7"/>
        <v>689.71000000000163</v>
      </c>
      <c r="G182" s="251">
        <f t="shared" si="8"/>
        <v>12970.789999999999</v>
      </c>
      <c r="H182" s="265">
        <f t="shared" si="9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7"/>
        <v>916.16999999999962</v>
      </c>
      <c r="G183" s="251">
        <f t="shared" si="8"/>
        <v>10981.83</v>
      </c>
      <c r="H183" s="265">
        <f t="shared" si="9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7"/>
        <v>631.64499999999884</v>
      </c>
      <c r="G184" s="251">
        <f t="shared" si="8"/>
        <v>12930.855000000001</v>
      </c>
      <c r="H184" s="265">
        <f t="shared" si="9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7"/>
        <v>-258.84000000000071</v>
      </c>
      <c r="G185" s="251">
        <f t="shared" si="8"/>
        <v>14814.84</v>
      </c>
      <c r="H185" s="265">
        <f t="shared" si="9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7"/>
        <v>-46.840000000000259</v>
      </c>
      <c r="G186" s="251">
        <f t="shared" si="8"/>
        <v>14814.84</v>
      </c>
      <c r="H186" s="265">
        <f t="shared" si="9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7"/>
        <v>189.15999999999826</v>
      </c>
      <c r="G187" s="251">
        <f t="shared" si="8"/>
        <v>14814.84</v>
      </c>
      <c r="H187" s="265">
        <f t="shared" si="9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7"/>
        <v>13.159999999999172</v>
      </c>
      <c r="G188" s="251">
        <f t="shared" si="8"/>
        <v>14814.84</v>
      </c>
      <c r="H188" s="265">
        <f t="shared" si="9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7"/>
        <v>-106.83999999999969</v>
      </c>
      <c r="G189" s="251">
        <f t="shared" si="8"/>
        <v>14814.84</v>
      </c>
      <c r="H189" s="265">
        <f t="shared" si="9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7"/>
        <v>-170.84000000000117</v>
      </c>
      <c r="G190" s="251">
        <f t="shared" si="8"/>
        <v>14814.84</v>
      </c>
      <c r="H190" s="265">
        <f t="shared" si="9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7"/>
        <v>-138.84000000000185</v>
      </c>
      <c r="G191" s="251">
        <f t="shared" si="8"/>
        <v>14814.84</v>
      </c>
      <c r="H191" s="265">
        <f t="shared" si="9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7"/>
        <v>-106.83999999999969</v>
      </c>
      <c r="G192" s="251">
        <f t="shared" si="8"/>
        <v>14814.84</v>
      </c>
      <c r="H192" s="265">
        <f t="shared" si="9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7"/>
        <v>-226.8400000000014</v>
      </c>
      <c r="G193" s="251">
        <f t="shared" si="8"/>
        <v>14814.84</v>
      </c>
      <c r="H193" s="265">
        <f t="shared" si="9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7"/>
        <v>-194.84000000000208</v>
      </c>
      <c r="G194" s="251">
        <f t="shared" si="8"/>
        <v>14814.84</v>
      </c>
      <c r="H194" s="265">
        <f t="shared" si="9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7"/>
        <v>49.159999999997694</v>
      </c>
      <c r="G195" s="251">
        <f t="shared" si="8"/>
        <v>14814.84</v>
      </c>
      <c r="H195" s="265">
        <f t="shared" si="9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7"/>
        <v>-86.840000000000828</v>
      </c>
      <c r="G196" s="251">
        <f t="shared" si="8"/>
        <v>14814.84</v>
      </c>
      <c r="H196" s="265">
        <f t="shared" si="9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7"/>
        <v>53.159999999999741</v>
      </c>
      <c r="G197" s="251">
        <f t="shared" si="8"/>
        <v>14814.84</v>
      </c>
      <c r="H197" s="265">
        <f t="shared" si="9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7"/>
        <v>134.15999999999997</v>
      </c>
      <c r="G198" s="251">
        <f t="shared" si="8"/>
        <v>14733.84</v>
      </c>
      <c r="H198" s="265">
        <f t="shared" si="9"/>
        <v>9.1055692202440079E-3</v>
      </c>
      <c r="I198" s="251" t="s">
        <v>258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7"/>
        <v>-5.8400000000006003</v>
      </c>
      <c r="G199" s="251">
        <f t="shared" si="8"/>
        <v>14733.84</v>
      </c>
      <c r="H199" s="265">
        <f t="shared" si="9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7"/>
        <v>790.15999999999872</v>
      </c>
      <c r="G200" s="251">
        <f t="shared" si="8"/>
        <v>12824.84</v>
      </c>
      <c r="H200" s="265">
        <f t="shared" si="9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7"/>
        <v>789.18000000000029</v>
      </c>
      <c r="G201" s="251">
        <f t="shared" si="8"/>
        <v>10880.82</v>
      </c>
      <c r="H201" s="265">
        <f t="shared" si="9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7"/>
        <v>798.67499999999939</v>
      </c>
      <c r="G202" s="251">
        <f t="shared" si="8"/>
        <v>8926.3250000000007</v>
      </c>
      <c r="H202" s="265">
        <f t="shared" si="9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7"/>
        <v>511.17499999999973</v>
      </c>
      <c r="G203" s="251">
        <f t="shared" si="8"/>
        <v>8926.3250000000007</v>
      </c>
      <c r="H203" s="265">
        <f t="shared" si="9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7"/>
        <v>683.67499999999916</v>
      </c>
      <c r="G204" s="251">
        <f t="shared" si="8"/>
        <v>8926.3250000000007</v>
      </c>
      <c r="H204" s="265">
        <f t="shared" si="9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7"/>
        <v>353.67499999999905</v>
      </c>
      <c r="G205" s="251">
        <f t="shared" si="8"/>
        <v>8926.3250000000007</v>
      </c>
      <c r="H205" s="265">
        <f t="shared" si="9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7"/>
        <v>266.17500000000052</v>
      </c>
      <c r="G206" s="251">
        <f t="shared" si="8"/>
        <v>8926.3250000000007</v>
      </c>
      <c r="H206" s="265">
        <f t="shared" si="9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7"/>
        <v>466.17499999999978</v>
      </c>
      <c r="G207" s="251">
        <f t="shared" si="8"/>
        <v>8926.3250000000007</v>
      </c>
      <c r="H207" s="265">
        <f t="shared" si="9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7"/>
        <v>586.17499999999905</v>
      </c>
      <c r="G208" s="251">
        <f t="shared" si="8"/>
        <v>8926.3250000000007</v>
      </c>
      <c r="H208" s="265">
        <f t="shared" si="9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7"/>
        <v>698.67499999999973</v>
      </c>
      <c r="G209" s="251">
        <f t="shared" si="8"/>
        <v>8926.3250000000007</v>
      </c>
      <c r="H209" s="265">
        <f t="shared" si="9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7"/>
        <v>768.67499999999995</v>
      </c>
      <c r="G210" s="251">
        <f t="shared" si="8"/>
        <v>8926.3250000000007</v>
      </c>
      <c r="H210" s="265">
        <f t="shared" si="9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7"/>
        <v>583.6749999999995</v>
      </c>
      <c r="G211" s="251">
        <f t="shared" si="8"/>
        <v>8926.3250000000007</v>
      </c>
      <c r="H211" s="265">
        <f t="shared" si="9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7"/>
        <v>876.17499999999995</v>
      </c>
      <c r="G212" s="251">
        <f t="shared" si="8"/>
        <v>8926.3250000000007</v>
      </c>
      <c r="H212" s="265">
        <f t="shared" si="9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61:F91 F93:F102 F45:F59">
    <cfRule type="expression" dxfId="309" priority="61">
      <formula>F45&gt;0</formula>
    </cfRule>
    <cfRule type="expression" dxfId="308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07" priority="63">
      <formula>F44&gt;0</formula>
    </cfRule>
    <cfRule type="expression" dxfId="306" priority="64">
      <formula>F44&lt;0</formula>
    </cfRule>
  </conditionalFormatting>
  <conditionalFormatting sqref="F61:F91 F93:F102 F45:F59">
    <cfRule type="expression" dxfId="305" priority="59">
      <formula>F45&gt;0</formula>
    </cfRule>
    <cfRule type="expression" dxfId="304" priority="60">
      <formula>F45&lt;0</formula>
    </cfRule>
  </conditionalFormatting>
  <conditionalFormatting sqref="H43:H59 H61:H91 H93:H102">
    <cfRule type="expression" dxfId="303" priority="57">
      <formula>H43&gt;0</formula>
    </cfRule>
    <cfRule type="expression" dxfId="302" priority="58">
      <formula>H43&lt;0</formula>
    </cfRule>
  </conditionalFormatting>
  <conditionalFormatting sqref="F36:F43">
    <cfRule type="expression" dxfId="301" priority="55">
      <formula>F36&gt;0</formula>
    </cfRule>
    <cfRule type="expression" dxfId="300" priority="56">
      <formula>F36&lt;0</formula>
    </cfRule>
  </conditionalFormatting>
  <conditionalFormatting sqref="H36:H42">
    <cfRule type="expression" dxfId="299" priority="53">
      <formula>H36&gt;0</formula>
    </cfRule>
    <cfRule type="expression" dxfId="298" priority="54">
      <formula>H36&lt;0</formula>
    </cfRule>
  </conditionalFormatting>
  <conditionalFormatting sqref="Q7">
    <cfRule type="expression" dxfId="297" priority="47">
      <formula>Q7&gt;0</formula>
    </cfRule>
    <cfRule type="expression" dxfId="296" priority="48">
      <formula>Q7&lt;0</formula>
    </cfRule>
  </conditionalFormatting>
  <conditionalFormatting sqref="Q8">
    <cfRule type="expression" dxfId="295" priority="45">
      <formula>Q8&gt;0</formula>
    </cfRule>
    <cfRule type="expression" dxfId="294" priority="46">
      <formula>Q8&lt;0</formula>
    </cfRule>
  </conditionalFormatting>
  <conditionalFormatting sqref="Q10">
    <cfRule type="expression" dxfId="293" priority="43">
      <formula>Q10&gt;0</formula>
    </cfRule>
    <cfRule type="expression" dxfId="292" priority="44">
      <formula>Q10&lt;0</formula>
    </cfRule>
  </conditionalFormatting>
  <conditionalFormatting sqref="F60">
    <cfRule type="expression" dxfId="291" priority="41">
      <formula>F60&gt;0</formula>
    </cfRule>
    <cfRule type="expression" dxfId="290" priority="42">
      <formula>F60&lt;0</formula>
    </cfRule>
  </conditionalFormatting>
  <conditionalFormatting sqref="F60">
    <cfRule type="expression" dxfId="289" priority="39">
      <formula>F60&gt;0</formula>
    </cfRule>
    <cfRule type="expression" dxfId="288" priority="40">
      <formula>F60&lt;0</formula>
    </cfRule>
  </conditionalFormatting>
  <conditionalFormatting sqref="H60">
    <cfRule type="expression" dxfId="287" priority="37">
      <formula>H60&gt;0</formula>
    </cfRule>
    <cfRule type="expression" dxfId="286" priority="38">
      <formula>H60&lt;0</formula>
    </cfRule>
  </conditionalFormatting>
  <conditionalFormatting sqref="F92">
    <cfRule type="expression" dxfId="285" priority="35">
      <formula>F92&gt;0</formula>
    </cfRule>
    <cfRule type="expression" dxfId="284" priority="36">
      <formula>F92&lt;0</formula>
    </cfRule>
  </conditionalFormatting>
  <conditionalFormatting sqref="F92">
    <cfRule type="expression" dxfId="283" priority="33">
      <formula>F92&gt;0</formula>
    </cfRule>
    <cfRule type="expression" dxfId="282" priority="34">
      <formula>F92&lt;0</formula>
    </cfRule>
  </conditionalFormatting>
  <conditionalFormatting sqref="H92">
    <cfRule type="expression" dxfId="281" priority="31">
      <formula>H92&gt;0</formula>
    </cfRule>
    <cfRule type="expression" dxfId="280" priority="32">
      <formula>H92&lt;0</formula>
    </cfRule>
  </conditionalFormatting>
  <conditionalFormatting sqref="F169:F183 F185:F215 F217:F226">
    <cfRule type="expression" dxfId="279" priority="27">
      <formula>F169&gt;0</formula>
    </cfRule>
    <cfRule type="expression" dxfId="278" priority="28">
      <formula>F169&lt;0</formula>
    </cfRule>
  </conditionalFormatting>
  <conditionalFormatting sqref="F164:F168">
    <cfRule type="expression" dxfId="277" priority="29">
      <formula>F164&gt;0</formula>
    </cfRule>
    <cfRule type="expression" dxfId="276" priority="30">
      <formula>F164&lt;0</formula>
    </cfRule>
  </conditionalFormatting>
  <conditionalFormatting sqref="F169:F183 F185:F215 F217:F226">
    <cfRule type="expression" dxfId="275" priority="25">
      <formula>F169&gt;0</formula>
    </cfRule>
    <cfRule type="expression" dxfId="274" priority="26">
      <formula>F169&lt;0</formula>
    </cfRule>
  </conditionalFormatting>
  <conditionalFormatting sqref="H164:H183 H185:H215 H217:H226">
    <cfRule type="expression" dxfId="273" priority="23">
      <formula>H164&gt;0</formula>
    </cfRule>
    <cfRule type="expression" dxfId="272" priority="24">
      <formula>H164&lt;0</formula>
    </cfRule>
  </conditionalFormatting>
  <conditionalFormatting sqref="F160:F163">
    <cfRule type="expression" dxfId="271" priority="21">
      <formula>F160&gt;0</formula>
    </cfRule>
    <cfRule type="expression" dxfId="270" priority="22">
      <formula>F160&lt;0</formula>
    </cfRule>
  </conditionalFormatting>
  <conditionalFormatting sqref="H160:H163">
    <cfRule type="expression" dxfId="269" priority="19">
      <formula>H160&gt;0</formula>
    </cfRule>
    <cfRule type="expression" dxfId="268" priority="20">
      <formula>H160&lt;0</formula>
    </cfRule>
  </conditionalFormatting>
  <conditionalFormatting sqref="F184">
    <cfRule type="expression" dxfId="267" priority="17">
      <formula>F184&gt;0</formula>
    </cfRule>
    <cfRule type="expression" dxfId="266" priority="18">
      <formula>F184&lt;0</formula>
    </cfRule>
  </conditionalFormatting>
  <conditionalFormatting sqref="F184">
    <cfRule type="expression" dxfId="265" priority="15">
      <formula>F184&gt;0</formula>
    </cfRule>
    <cfRule type="expression" dxfId="264" priority="16">
      <formula>F184&lt;0</formula>
    </cfRule>
  </conditionalFormatting>
  <conditionalFormatting sqref="H184">
    <cfRule type="expression" dxfId="263" priority="13">
      <formula>H184&gt;0</formula>
    </cfRule>
    <cfRule type="expression" dxfId="262" priority="14">
      <formula>H184&lt;0</formula>
    </cfRule>
  </conditionalFormatting>
  <conditionalFormatting sqref="F216">
    <cfRule type="expression" dxfId="261" priority="11">
      <formula>F216&gt;0</formula>
    </cfRule>
    <cfRule type="expression" dxfId="260" priority="12">
      <formula>F216&lt;0</formula>
    </cfRule>
  </conditionalFormatting>
  <conditionalFormatting sqref="F216">
    <cfRule type="expression" dxfId="259" priority="9">
      <formula>F216&gt;0</formula>
    </cfRule>
    <cfRule type="expression" dxfId="258" priority="10">
      <formula>F216&lt;0</formula>
    </cfRule>
  </conditionalFormatting>
  <conditionalFormatting sqref="H216">
    <cfRule type="expression" dxfId="257" priority="7">
      <formula>H216&gt;0</formula>
    </cfRule>
    <cfRule type="expression" dxfId="256" priority="8">
      <formula>H216&lt;0</formula>
    </cfRule>
  </conditionalFormatting>
  <conditionalFormatting sqref="J38:J39">
    <cfRule type="expression" dxfId="255" priority="5">
      <formula>J38&gt;0</formula>
    </cfRule>
    <cfRule type="expression" dxfId="254" priority="6">
      <formula>J38&lt;0</formula>
    </cfRule>
  </conditionalFormatting>
  <conditionalFormatting sqref="J41:J51">
    <cfRule type="expression" dxfId="253" priority="3">
      <formula>J41&gt;0</formula>
    </cfRule>
    <cfRule type="expression" dxfId="252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326</v>
      </c>
      <c r="B2" s="434">
        <v>43116</v>
      </c>
      <c r="C2" s="7">
        <v>100</v>
      </c>
      <c r="D2" s="43">
        <v>21.28</v>
      </c>
      <c r="E2" s="43">
        <v>0</v>
      </c>
      <c r="F2" s="43">
        <f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0</v>
      </c>
      <c r="T2" s="1">
        <v>43080</v>
      </c>
      <c r="U2" t="s">
        <v>763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>C3*D3+E3</f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24.14</v>
      </c>
      <c r="T3" s="1">
        <v>43088</v>
      </c>
      <c r="U3" t="s">
        <v>768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>C4*D4+E4</f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24.14</v>
      </c>
      <c r="R4" s="475">
        <v>-4.4999999999999997E-3</v>
      </c>
      <c r="U4" t="s">
        <v>769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>C5*D5+E5</f>
        <v>1775</v>
      </c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>C6*D6+E6</f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0</v>
      </c>
    </row>
    <row r="7" spans="1:29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1211.7400000000052</v>
      </c>
      <c r="R7">
        <v>0</v>
      </c>
      <c r="T7" s="1">
        <v>43103</v>
      </c>
      <c r="U7" t="s">
        <v>833</v>
      </c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926.77000000000044</v>
      </c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U9" t="s">
        <v>922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206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984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938</v>
      </c>
      <c r="T12" s="1">
        <v>43223</v>
      </c>
      <c r="U12" t="s">
        <v>1040</v>
      </c>
    </row>
    <row r="13" spans="1:29" x14ac:dyDescent="0.25">
      <c r="O13" s="11" t="s">
        <v>965</v>
      </c>
      <c r="Q13" s="2">
        <f>Q4/2.45</f>
        <v>9.8530612244897959</v>
      </c>
      <c r="U13" t="s">
        <v>1042</v>
      </c>
    </row>
    <row r="15" spans="1:29" x14ac:dyDescent="0.25">
      <c r="T15" s="1">
        <v>43224</v>
      </c>
      <c r="U15" t="s">
        <v>1046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600</v>
      </c>
      <c r="D17" s="18"/>
      <c r="E17" s="18"/>
      <c r="F17" s="18">
        <f>SUM(F2:F16)</f>
        <v>11221</v>
      </c>
      <c r="G17" s="14"/>
      <c r="H17" s="71">
        <f>SUM(H2:H10)</f>
        <v>600</v>
      </c>
      <c r="I17" s="18"/>
      <c r="J17" s="18"/>
      <c r="K17" s="18">
        <f>SUM(K2:K16)</f>
        <v>12147.77</v>
      </c>
      <c r="L17" s="14"/>
      <c r="M17" s="18">
        <f>SUM(M2:M16)</f>
        <v>0</v>
      </c>
      <c r="O17" s="81">
        <v>1.1000000000000001</v>
      </c>
      <c r="P17" s="81">
        <f>O17*$Q$4</f>
        <v>26.554000000000002</v>
      </c>
      <c r="T17" s="1">
        <v>43235</v>
      </c>
      <c r="U17" t="s">
        <v>1071</v>
      </c>
    </row>
    <row r="18" spans="1:21" ht="15.75" thickBot="1" x14ac:dyDescent="0.3">
      <c r="A18" s="341" t="s">
        <v>193</v>
      </c>
      <c r="B18" s="342"/>
      <c r="C18" s="343">
        <f>SumByColor($A$18,C2:C16)</f>
        <v>600</v>
      </c>
      <c r="D18" s="343"/>
      <c r="E18" s="343"/>
      <c r="F18" s="344">
        <f>SumByColor($A$18,F2:F16)</f>
        <v>11221</v>
      </c>
      <c r="G18" s="343"/>
      <c r="H18" s="343">
        <f>SumByColor($A$18,H2:H16)</f>
        <v>600</v>
      </c>
      <c r="I18" s="343"/>
      <c r="J18" s="343"/>
      <c r="K18" s="344">
        <f>SumByColor($A$18,K3:K16)</f>
        <v>8142</v>
      </c>
      <c r="L18" s="343"/>
      <c r="M18" s="344">
        <f>SumByColor($A$18,M2:M16)</f>
        <v>0</v>
      </c>
      <c r="O18" s="81">
        <v>1.0900000000000001</v>
      </c>
      <c r="P18" s="81">
        <f t="shared" ref="P18:P37" si="0">O18*$Q$4</f>
        <v>26.312600000000003</v>
      </c>
      <c r="U18" t="s">
        <v>1072</v>
      </c>
    </row>
    <row r="19" spans="1:21" x14ac:dyDescent="0.25">
      <c r="O19" s="81">
        <v>1.08</v>
      </c>
      <c r="P19" s="81">
        <f t="shared" si="0"/>
        <v>26.071200000000001</v>
      </c>
    </row>
    <row r="20" spans="1:21" x14ac:dyDescent="0.25">
      <c r="A20" s="182" t="s">
        <v>227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494</v>
      </c>
      <c r="O20" s="81">
        <v>1.07</v>
      </c>
      <c r="P20" s="81">
        <f t="shared" si="0"/>
        <v>25.829800000000002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1">C21*(E21-D21)</f>
        <v>12.999999999999901</v>
      </c>
      <c r="G21" s="39">
        <f t="shared" ref="G21:G27" si="2">D21*C21</f>
        <v>2128</v>
      </c>
      <c r="H21" s="222">
        <f t="shared" ref="H21:H27" si="3">(E21-D21)/D21</f>
        <v>6.1090225563909303E-3</v>
      </c>
      <c r="I21" s="222"/>
      <c r="J21" s="222"/>
      <c r="K21" s="222"/>
      <c r="O21" s="81">
        <v>1.06</v>
      </c>
      <c r="P21" s="81">
        <f t="shared" si="0"/>
        <v>25.588400000000004</v>
      </c>
      <c r="T21" s="156">
        <v>43314</v>
      </c>
      <c r="U21" t="s">
        <v>82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1"/>
        <v>-71.000000000000085</v>
      </c>
      <c r="G22" s="39">
        <f t="shared" si="2"/>
        <v>2128</v>
      </c>
      <c r="H22" s="222">
        <f t="shared" si="3"/>
        <v>-3.3364661654135375E-2</v>
      </c>
      <c r="I22" s="222"/>
      <c r="J22" s="222"/>
      <c r="K22" s="222"/>
      <c r="O22" s="81">
        <v>1.05</v>
      </c>
      <c r="P22" s="81">
        <f t="shared" si="0"/>
        <v>25.347000000000001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1"/>
        <v>-247.99999999999969</v>
      </c>
      <c r="G23" s="39">
        <f t="shared" si="2"/>
        <v>3976</v>
      </c>
      <c r="H23" s="222">
        <f t="shared" si="3"/>
        <v>-6.2374245472836945E-2</v>
      </c>
      <c r="I23" s="222"/>
      <c r="J23" s="222"/>
      <c r="K23" s="222"/>
      <c r="O23" s="81">
        <v>1.04</v>
      </c>
      <c r="P23" s="81">
        <f t="shared" si="0"/>
        <v>25.105600000000003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1"/>
        <v>203.99999999999991</v>
      </c>
      <c r="G24" s="39">
        <f t="shared" si="2"/>
        <v>3976</v>
      </c>
      <c r="H24" s="222">
        <f t="shared" si="3"/>
        <v>5.1307847082494952E-2</v>
      </c>
      <c r="I24" s="222"/>
      <c r="J24" s="727">
        <v>489</v>
      </c>
      <c r="K24" s="727"/>
      <c r="O24" s="81">
        <v>1.03</v>
      </c>
      <c r="P24" s="81">
        <f t="shared" si="0"/>
        <v>24.8642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1"/>
        <v>-15.990000000000038</v>
      </c>
      <c r="G25" s="39">
        <f t="shared" si="2"/>
        <v>5955.9900000000007</v>
      </c>
      <c r="H25" s="222">
        <f t="shared" si="3"/>
        <v>-2.6846922174147431E-3</v>
      </c>
      <c r="I25" s="223"/>
      <c r="J25" s="727">
        <v>269</v>
      </c>
      <c r="K25" s="727"/>
      <c r="O25" s="81">
        <v>1.02</v>
      </c>
      <c r="P25" s="81">
        <f t="shared" si="0"/>
        <v>24.622800000000002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1"/>
        <v>-141.99000000000055</v>
      </c>
      <c r="G26" s="39">
        <f t="shared" si="2"/>
        <v>5955.9900000000007</v>
      </c>
      <c r="H26" s="222">
        <f t="shared" si="3"/>
        <v>-2.3839865412803002E-2</v>
      </c>
      <c r="I26" s="223"/>
      <c r="J26" s="727">
        <v>143</v>
      </c>
      <c r="K26" s="727"/>
      <c r="O26" s="81">
        <v>1.01</v>
      </c>
      <c r="P26" s="81">
        <f t="shared" si="0"/>
        <v>24.381399999999999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1"/>
        <v>-567.00000000000023</v>
      </c>
      <c r="G27" s="39">
        <f t="shared" si="2"/>
        <v>7731</v>
      </c>
      <c r="H27" s="223">
        <f t="shared" si="3"/>
        <v>-7.3341094295692688E-2</v>
      </c>
      <c r="I27" s="223"/>
      <c r="J27" s="727">
        <v>-282</v>
      </c>
      <c r="K27" s="727"/>
      <c r="O27" s="81">
        <v>1</v>
      </c>
      <c r="P27" s="81">
        <f t="shared" si="0"/>
        <v>24.14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:F35" si="4">C28*(E28-D28)</f>
        <v>-982.99999999999977</v>
      </c>
      <c r="G28" s="39">
        <f t="shared" ref="G28:G35" si="5">D28*C28</f>
        <v>7731</v>
      </c>
      <c r="H28" s="223">
        <f t="shared" ref="H28:H35" si="6">(E28-D28)/D28</f>
        <v>-0.12715043332039838</v>
      </c>
      <c r="I28" s="223"/>
      <c r="J28" s="727">
        <v>-698</v>
      </c>
      <c r="K28" s="39">
        <v>36.6</v>
      </c>
      <c r="O28" s="81">
        <v>0.99</v>
      </c>
      <c r="P28" s="81">
        <f t="shared" si="0"/>
        <v>23.898600000000002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4"/>
        <v>-662.99999999999955</v>
      </c>
      <c r="G29" s="39">
        <f t="shared" si="5"/>
        <v>7731</v>
      </c>
      <c r="H29" s="223">
        <f t="shared" si="6"/>
        <v>-8.5758634070624701E-2</v>
      </c>
      <c r="I29" s="223"/>
      <c r="J29" s="727">
        <v>-378</v>
      </c>
      <c r="K29" s="39"/>
      <c r="O29" s="81">
        <v>0.98</v>
      </c>
      <c r="P29" s="81">
        <f t="shared" si="0"/>
        <v>23.6572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4"/>
        <v>280.90000000000043</v>
      </c>
      <c r="G30" s="39">
        <f t="shared" si="5"/>
        <v>3725.1</v>
      </c>
      <c r="H30" s="223">
        <f t="shared" si="6"/>
        <v>7.5407371614184981E-2</v>
      </c>
      <c r="I30" s="223" t="s">
        <v>1043</v>
      </c>
      <c r="J30" s="727">
        <v>566</v>
      </c>
      <c r="K30" s="727"/>
      <c r="O30" s="81">
        <v>0.97</v>
      </c>
      <c r="P30" s="81">
        <f t="shared" si="0"/>
        <v>23.415800000000001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4"/>
        <v>-169.99999999999957</v>
      </c>
      <c r="G31" s="39">
        <f t="shared" si="5"/>
        <v>3726</v>
      </c>
      <c r="H31" s="223">
        <f t="shared" si="6"/>
        <v>-4.5625335480407835E-2</v>
      </c>
      <c r="I31" s="223" t="s">
        <v>1044</v>
      </c>
      <c r="J31" s="727">
        <v>116</v>
      </c>
      <c r="K31" s="727"/>
      <c r="O31" s="81">
        <v>0.96</v>
      </c>
      <c r="P31" s="81">
        <f t="shared" si="0"/>
        <v>23.174399999999999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4"/>
        <v>-83.080000000001064</v>
      </c>
      <c r="G32" s="39">
        <f t="shared" si="5"/>
        <v>7215.08</v>
      </c>
      <c r="H32" s="223">
        <f t="shared" si="6"/>
        <v>-1.1514771838981835E-2</v>
      </c>
      <c r="I32" s="223"/>
      <c r="J32" s="727">
        <v>202</v>
      </c>
      <c r="K32" s="727"/>
      <c r="O32" s="81">
        <v>0.95</v>
      </c>
      <c r="P32" s="81">
        <f t="shared" si="0"/>
        <v>22.933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4"/>
        <v>-83.180000000000121</v>
      </c>
      <c r="G33" s="39">
        <f t="shared" si="5"/>
        <v>3649.18</v>
      </c>
      <c r="H33" s="223">
        <f t="shared" si="6"/>
        <v>-2.2794161976115217E-2</v>
      </c>
      <c r="I33" s="223"/>
      <c r="J33" s="727">
        <v>202</v>
      </c>
      <c r="K33" s="727"/>
      <c r="O33" s="81">
        <v>0.94</v>
      </c>
      <c r="P33" s="81">
        <f t="shared" si="0"/>
        <v>22.691599999999998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si="4"/>
        <v>74.000000000000199</v>
      </c>
      <c r="G34" s="39">
        <f t="shared" si="5"/>
        <v>3650</v>
      </c>
      <c r="H34" s="223">
        <f t="shared" si="6"/>
        <v>2.0273972602739779E-2</v>
      </c>
      <c r="I34" s="39"/>
      <c r="J34" s="727">
        <v>360</v>
      </c>
      <c r="K34" s="727"/>
      <c r="O34" s="81">
        <v>0.93</v>
      </c>
      <c r="P34" s="81">
        <f t="shared" si="0"/>
        <v>22.450200000000002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4"/>
        <v>410.00000000000011</v>
      </c>
      <c r="G35" s="39">
        <f t="shared" si="5"/>
        <v>3650</v>
      </c>
      <c r="H35" s="223">
        <f t="shared" si="6"/>
        <v>0.11232876712328771</v>
      </c>
      <c r="I35" s="223"/>
      <c r="J35" s="727">
        <v>696</v>
      </c>
      <c r="K35" s="727"/>
      <c r="O35" s="81">
        <v>0.92</v>
      </c>
      <c r="P35" s="81">
        <f t="shared" si="0"/>
        <v>22.2088</v>
      </c>
    </row>
    <row r="36" spans="1:18" x14ac:dyDescent="0.25">
      <c r="A36" s="10"/>
      <c r="B36" s="184">
        <v>43259</v>
      </c>
      <c r="C36" s="10">
        <v>0</v>
      </c>
      <c r="D36" s="39"/>
      <c r="E36" s="39"/>
      <c r="F36" s="39">
        <v>926.77</v>
      </c>
      <c r="G36" s="39"/>
      <c r="H36" s="223"/>
      <c r="I36" s="39"/>
      <c r="J36" s="727">
        <v>1211.74</v>
      </c>
      <c r="K36" s="727"/>
      <c r="O36" s="81">
        <v>0.91</v>
      </c>
      <c r="P36" s="81">
        <f t="shared" si="0"/>
        <v>21.967400000000001</v>
      </c>
    </row>
    <row r="37" spans="1:18" x14ac:dyDescent="0.25">
      <c r="A37" s="10"/>
      <c r="B37" s="184"/>
      <c r="C37" s="10"/>
      <c r="D37" s="39"/>
      <c r="E37" s="39"/>
      <c r="F37" s="39"/>
      <c r="G37" s="39"/>
      <c r="H37" s="223"/>
      <c r="I37" s="39"/>
      <c r="J37" s="727"/>
      <c r="K37" s="727"/>
      <c r="O37" s="81">
        <v>0.9</v>
      </c>
      <c r="P37" s="81">
        <f t="shared" si="0"/>
        <v>21.726000000000003</v>
      </c>
    </row>
    <row r="38" spans="1:18" x14ac:dyDescent="0.25">
      <c r="A38" s="10"/>
      <c r="B38" s="184"/>
      <c r="C38" s="10"/>
      <c r="D38" s="39"/>
      <c r="E38" s="39"/>
      <c r="F38" s="39"/>
      <c r="G38" s="39"/>
      <c r="H38" s="223"/>
      <c r="I38" s="223"/>
      <c r="J38" s="223"/>
      <c r="K38" s="223"/>
    </row>
    <row r="39" spans="1:18" x14ac:dyDescent="0.25">
      <c r="A39" s="10"/>
      <c r="B39" s="184"/>
      <c r="C39" s="10"/>
      <c r="D39" s="39"/>
      <c r="E39" s="39"/>
      <c r="F39" s="39"/>
      <c r="G39" s="39"/>
      <c r="H39" s="223"/>
      <c r="I39" s="193"/>
      <c r="J39" s="193"/>
      <c r="K39" s="193"/>
    </row>
    <row r="40" spans="1:18" x14ac:dyDescent="0.25">
      <c r="A40" s="10"/>
      <c r="B40" s="184"/>
      <c r="C40" s="10"/>
      <c r="D40" s="39"/>
      <c r="E40" s="39"/>
      <c r="F40" s="39"/>
      <c r="G40" s="39"/>
      <c r="H40" s="223"/>
      <c r="I40" s="223"/>
      <c r="J40" s="223"/>
      <c r="K40" s="223"/>
    </row>
    <row r="41" spans="1:18" x14ac:dyDescent="0.25">
      <c r="A41" s="10"/>
      <c r="B41" s="184"/>
      <c r="C41" s="10"/>
      <c r="D41" s="39"/>
      <c r="E41" s="39"/>
      <c r="F41" s="39"/>
      <c r="G41" s="39"/>
      <c r="H41" s="223"/>
      <c r="I41" s="223"/>
      <c r="J41" s="223"/>
      <c r="K41" s="223"/>
      <c r="O41" s="33"/>
      <c r="R41" s="33"/>
    </row>
    <row r="42" spans="1:18" x14ac:dyDescent="0.25">
      <c r="A42" s="10"/>
      <c r="B42" s="184"/>
      <c r="C42" s="10"/>
      <c r="D42" s="39"/>
      <c r="E42" s="39"/>
      <c r="F42" s="39"/>
      <c r="G42" s="39"/>
      <c r="H42" s="223"/>
      <c r="I42" s="223"/>
      <c r="J42" s="223"/>
      <c r="K42" s="223"/>
      <c r="Q42" s="33"/>
      <c r="R42" s="33"/>
    </row>
    <row r="43" spans="1:18" x14ac:dyDescent="0.25">
      <c r="A43" s="10"/>
      <c r="B43" s="184"/>
      <c r="C43" s="10"/>
      <c r="D43" s="39"/>
      <c r="E43" s="39"/>
      <c r="F43" s="39"/>
      <c r="G43" s="39"/>
      <c r="H43" s="223"/>
      <c r="I43" s="223"/>
      <c r="J43" s="223"/>
      <c r="K43" s="223"/>
      <c r="Q43" s="33"/>
      <c r="R43" s="33"/>
    </row>
    <row r="44" spans="1:18" x14ac:dyDescent="0.25">
      <c r="A44" s="10"/>
      <c r="B44" s="184"/>
      <c r="C44" s="10"/>
      <c r="D44" s="39"/>
      <c r="E44" s="39"/>
      <c r="F44" s="39"/>
      <c r="G44" s="39"/>
      <c r="H44" s="223"/>
      <c r="I44" s="223"/>
      <c r="J44" s="223"/>
      <c r="K44" s="223"/>
      <c r="Q44" s="33"/>
      <c r="R44" s="33"/>
    </row>
    <row r="45" spans="1:18" x14ac:dyDescent="0.25">
      <c r="A45" s="10"/>
      <c r="B45" s="184"/>
      <c r="C45" s="10"/>
      <c r="D45" s="39"/>
      <c r="E45" s="39"/>
      <c r="F45" s="39"/>
      <c r="G45" s="39"/>
      <c r="H45" s="223"/>
      <c r="I45" s="223"/>
      <c r="J45" s="223"/>
      <c r="K45" s="223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Q55" s="81"/>
    </row>
    <row r="56" spans="1:18" x14ac:dyDescent="0.25">
      <c r="Q56" s="81"/>
    </row>
    <row r="57" spans="1:18" x14ac:dyDescent="0.25">
      <c r="L57" t="s">
        <v>208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326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7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8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7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8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7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8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7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8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7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8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7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8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7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8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7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8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7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8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227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357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9">C87*(E87-D87)</f>
        <v>-53.688000000000216</v>
      </c>
      <c r="G87" s="758">
        <f t="shared" ref="G87:G106" si="10">D87*C87</f>
        <v>2532.8879999999999</v>
      </c>
      <c r="H87" s="759">
        <f t="shared" ref="H87:H106" si="11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9"/>
        <v>-150.49599999999998</v>
      </c>
      <c r="G88" s="758">
        <f t="shared" si="10"/>
        <v>4907.2960000000003</v>
      </c>
      <c r="H88" s="760">
        <f t="shared" si="11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9"/>
        <v>31.056000000000097</v>
      </c>
      <c r="G89" s="758">
        <f t="shared" si="10"/>
        <v>2403.3440000000001</v>
      </c>
      <c r="H89" s="760">
        <f t="shared" si="11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9"/>
        <v>300.49599999999998</v>
      </c>
      <c r="G90" s="758">
        <f t="shared" si="10"/>
        <v>2357.1039999999998</v>
      </c>
      <c r="H90" s="760">
        <f t="shared" si="11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9"/>
        <v>-990.89999999999986</v>
      </c>
      <c r="G91" s="758">
        <f t="shared" si="10"/>
        <v>4085.1</v>
      </c>
      <c r="H91" s="760">
        <f t="shared" si="11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9"/>
        <v>-1311.3</v>
      </c>
      <c r="G92" s="758">
        <f t="shared" si="10"/>
        <v>4085.1</v>
      </c>
      <c r="H92" s="760">
        <f t="shared" si="11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9"/>
        <v>-749.14400000000001</v>
      </c>
      <c r="G93" s="758">
        <f t="shared" si="10"/>
        <v>2229.1440000000002</v>
      </c>
      <c r="H93" s="760">
        <f t="shared" si="11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9"/>
        <v>-925.93800000000033</v>
      </c>
      <c r="G94" s="758">
        <f t="shared" si="10"/>
        <v>3984.1379999999999</v>
      </c>
      <c r="H94" s="760">
        <f t="shared" si="11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9"/>
        <v>-642.77000000000021</v>
      </c>
      <c r="G95" s="758">
        <f t="shared" si="10"/>
        <v>2489.77</v>
      </c>
      <c r="H95" s="760">
        <f t="shared" si="11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9"/>
        <v>-538.16399999999976</v>
      </c>
      <c r="G96" s="758">
        <f t="shared" si="10"/>
        <v>3925.7639999999997</v>
      </c>
      <c r="H96" s="760">
        <f t="shared" si="11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9"/>
        <v>-1031.4000000000001</v>
      </c>
      <c r="G97" s="758">
        <f t="shared" si="10"/>
        <v>3925.7999999999997</v>
      </c>
      <c r="H97" s="760">
        <f t="shared" si="11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9"/>
        <v>-1115.3799999999999</v>
      </c>
      <c r="G98" s="758">
        <f t="shared" si="10"/>
        <v>5505.78</v>
      </c>
      <c r="H98" s="760">
        <f t="shared" si="11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9"/>
        <v>-1434.58</v>
      </c>
      <c r="G99" s="758">
        <f t="shared" si="10"/>
        <v>5505.78</v>
      </c>
      <c r="H99" s="760">
        <f t="shared" si="11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9"/>
        <v>-2289.6000000000008</v>
      </c>
      <c r="G100" s="758">
        <f t="shared" si="10"/>
        <v>7761.6</v>
      </c>
      <c r="H100" s="760">
        <f t="shared" si="11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9"/>
        <v>-1871.0440000000003</v>
      </c>
      <c r="G101" s="758">
        <f t="shared" si="10"/>
        <v>5345.8440000000001</v>
      </c>
      <c r="H101" s="760">
        <f t="shared" si="11"/>
        <v>-0.34999973811431839</v>
      </c>
      <c r="I101" s="761" t="s">
        <v>755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9"/>
        <v>-1072.2600000000004</v>
      </c>
      <c r="G102" s="758">
        <f t="shared" si="10"/>
        <v>4124.26</v>
      </c>
      <c r="H102" s="760">
        <f t="shared" si="11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9"/>
        <v>-912.00000000000045</v>
      </c>
      <c r="G103" s="758">
        <f t="shared" si="10"/>
        <v>4124</v>
      </c>
      <c r="H103" s="760">
        <f t="shared" si="11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9"/>
        <v>-964</v>
      </c>
      <c r="G104" s="758">
        <f t="shared" si="10"/>
        <v>4104</v>
      </c>
      <c r="H104" s="760">
        <f t="shared" si="11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9"/>
        <v>-260.04000000000008</v>
      </c>
      <c r="G105" s="758">
        <f t="shared" si="10"/>
        <v>4104.04</v>
      </c>
      <c r="H105" s="760">
        <f t="shared" si="11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9"/>
        <v>200.9999999999998</v>
      </c>
      <c r="G106" s="758">
        <f t="shared" si="10"/>
        <v>1973</v>
      </c>
      <c r="H106" s="760">
        <f t="shared" si="11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51" priority="99">
      <formula>F27&gt;0</formula>
    </cfRule>
    <cfRule type="expression" dxfId="250" priority="100">
      <formula>F27&lt;0</formula>
    </cfRule>
  </conditionalFormatting>
  <conditionalFormatting sqref="H27:H29">
    <cfRule type="expression" dxfId="249" priority="97">
      <formula>H27&gt;0</formula>
    </cfRule>
    <cfRule type="expression" dxfId="248" priority="98">
      <formula>H27&lt;0</formula>
    </cfRule>
  </conditionalFormatting>
  <conditionalFormatting sqref="H30">
    <cfRule type="expression" dxfId="247" priority="93">
      <formula>H30&gt;0</formula>
    </cfRule>
    <cfRule type="expression" dxfId="246" priority="94">
      <formula>H30&lt;0</formula>
    </cfRule>
  </conditionalFormatting>
  <conditionalFormatting sqref="H31:H55">
    <cfRule type="expression" dxfId="245" priority="91">
      <formula>H31&gt;0</formula>
    </cfRule>
    <cfRule type="expression" dxfId="244" priority="92">
      <formula>H31&lt;0</formula>
    </cfRule>
  </conditionalFormatting>
  <conditionalFormatting sqref="F31">
    <cfRule type="expression" dxfId="243" priority="85">
      <formula>F31&gt;0</formula>
    </cfRule>
    <cfRule type="expression" dxfId="242" priority="86">
      <formula>F31&lt;0</formula>
    </cfRule>
  </conditionalFormatting>
  <conditionalFormatting sqref="I25:I29">
    <cfRule type="expression" dxfId="241" priority="83">
      <formula>I25&gt;0</formula>
    </cfRule>
    <cfRule type="expression" dxfId="240" priority="84">
      <formula>I25&lt;0</formula>
    </cfRule>
  </conditionalFormatting>
  <conditionalFormatting sqref="I30:I33 I35 I38:K38 I40:K55">
    <cfRule type="expression" dxfId="239" priority="77">
      <formula>I30&gt;0</formula>
    </cfRule>
    <cfRule type="expression" dxfId="238" priority="78">
      <formula>I30&lt;0</formula>
    </cfRule>
  </conditionalFormatting>
  <conditionalFormatting sqref="I21:K24">
    <cfRule type="expression" dxfId="237" priority="75">
      <formula>I21&gt;0</formula>
    </cfRule>
    <cfRule type="expression" dxfId="236" priority="76">
      <formula>I21&lt;0</formula>
    </cfRule>
  </conditionalFormatting>
  <conditionalFormatting sqref="F32:F55">
    <cfRule type="expression" dxfId="235" priority="73">
      <formula>F32&gt;0</formula>
    </cfRule>
    <cfRule type="expression" dxfId="234" priority="74">
      <formula>F32&lt;0</formula>
    </cfRule>
  </conditionalFormatting>
  <conditionalFormatting sqref="Q8">
    <cfRule type="expression" dxfId="233" priority="69">
      <formula>Q8&gt;0</formula>
    </cfRule>
    <cfRule type="expression" dxfId="232" priority="70">
      <formula>Q8&lt;0</formula>
    </cfRule>
  </conditionalFormatting>
  <conditionalFormatting sqref="Q7">
    <cfRule type="expression" dxfId="231" priority="71">
      <formula>Q7&gt;0</formula>
    </cfRule>
    <cfRule type="expression" dxfId="230" priority="72">
      <formula>Q7&lt;0</formula>
    </cfRule>
  </conditionalFormatting>
  <conditionalFormatting sqref="F82">
    <cfRule type="expression" dxfId="229" priority="57">
      <formula>F82&gt;0</formula>
    </cfRule>
    <cfRule type="expression" dxfId="228" priority="58">
      <formula>F82&lt;0</formula>
    </cfRule>
  </conditionalFormatting>
  <conditionalFormatting sqref="H82">
    <cfRule type="expression" dxfId="227" priority="55">
      <formula>H82&gt;0</formula>
    </cfRule>
    <cfRule type="expression" dxfId="226" priority="56">
      <formula>H82&lt;0</formula>
    </cfRule>
  </conditionalFormatting>
  <conditionalFormatting sqref="I82">
    <cfRule type="expression" dxfId="225" priority="43">
      <formula>I82&gt;0</formula>
    </cfRule>
    <cfRule type="expression" dxfId="224" priority="44">
      <formula>I82&lt;0</formula>
    </cfRule>
  </conditionalFormatting>
  <conditionalFormatting sqref="F25:F26">
    <cfRule type="expression" dxfId="223" priority="39">
      <formula>F25&gt;0</formula>
    </cfRule>
    <cfRule type="expression" dxfId="222" priority="40">
      <formula>F25&lt;0</formula>
    </cfRule>
  </conditionalFormatting>
  <conditionalFormatting sqref="H25:H26">
    <cfRule type="expression" dxfId="221" priority="37">
      <formula>H25&gt;0</formula>
    </cfRule>
    <cfRule type="expression" dxfId="220" priority="38">
      <formula>H25&lt;0</formula>
    </cfRule>
  </conditionalFormatting>
  <conditionalFormatting sqref="F88:F92">
    <cfRule type="expression" dxfId="219" priority="35">
      <formula>F88&gt;0</formula>
    </cfRule>
    <cfRule type="expression" dxfId="218" priority="36">
      <formula>F88&lt;0</formula>
    </cfRule>
  </conditionalFormatting>
  <conditionalFormatting sqref="H88:H90">
    <cfRule type="expression" dxfId="217" priority="33">
      <formula>H88&gt;0</formula>
    </cfRule>
    <cfRule type="expression" dxfId="216" priority="34">
      <formula>H88&lt;0</formula>
    </cfRule>
  </conditionalFormatting>
  <conditionalFormatting sqref="H91:H92">
    <cfRule type="expression" dxfId="215" priority="31">
      <formula>H91&gt;0</formula>
    </cfRule>
    <cfRule type="expression" dxfId="214" priority="32">
      <formula>H91&lt;0</formula>
    </cfRule>
  </conditionalFormatting>
  <conditionalFormatting sqref="H93:H118">
    <cfRule type="expression" dxfId="213" priority="29">
      <formula>H93&gt;0</formula>
    </cfRule>
    <cfRule type="expression" dxfId="212" priority="30">
      <formula>H93&lt;0</formula>
    </cfRule>
  </conditionalFormatting>
  <conditionalFormatting sqref="F83:F86">
    <cfRule type="expression" dxfId="211" priority="27">
      <formula>F83&gt;0</formula>
    </cfRule>
    <cfRule type="expression" dxfId="210" priority="28">
      <formula>F83&lt;0</formula>
    </cfRule>
  </conditionalFormatting>
  <conditionalFormatting sqref="H83:H86">
    <cfRule type="expression" dxfId="209" priority="25">
      <formula>H83&gt;0</formula>
    </cfRule>
    <cfRule type="expression" dxfId="208" priority="26">
      <formula>H83&lt;0</formula>
    </cfRule>
  </conditionalFormatting>
  <conditionalFormatting sqref="F93">
    <cfRule type="expression" dxfId="207" priority="23">
      <formula>F93&gt;0</formula>
    </cfRule>
    <cfRule type="expression" dxfId="206" priority="24">
      <formula>F93&lt;0</formula>
    </cfRule>
  </conditionalFormatting>
  <conditionalFormatting sqref="I87:I89">
    <cfRule type="expression" dxfId="205" priority="21">
      <formula>I87&gt;0</formula>
    </cfRule>
    <cfRule type="expression" dxfId="204" priority="22">
      <formula>I87&lt;0</formula>
    </cfRule>
  </conditionalFormatting>
  <conditionalFormatting sqref="I90">
    <cfRule type="expression" dxfId="203" priority="19">
      <formula>I90&gt;0</formula>
    </cfRule>
    <cfRule type="expression" dxfId="202" priority="20">
      <formula>I90&lt;0</formula>
    </cfRule>
  </conditionalFormatting>
  <conditionalFormatting sqref="I91">
    <cfRule type="expression" dxfId="201" priority="17">
      <formula>I91&gt;0</formula>
    </cfRule>
    <cfRule type="expression" dxfId="200" priority="18">
      <formula>I91&lt;0</formula>
    </cfRule>
  </conditionalFormatting>
  <conditionalFormatting sqref="I92:I95 I97 I100 I102:I118">
    <cfRule type="expression" dxfId="199" priority="15">
      <formula>I92&gt;0</formula>
    </cfRule>
    <cfRule type="expression" dxfId="198" priority="16">
      <formula>I92&lt;0</formula>
    </cfRule>
  </conditionalFormatting>
  <conditionalFormatting sqref="I83:I86">
    <cfRule type="expression" dxfId="197" priority="13">
      <formula>I83&gt;0</formula>
    </cfRule>
    <cfRule type="expression" dxfId="196" priority="14">
      <formula>I83&lt;0</formula>
    </cfRule>
  </conditionalFormatting>
  <conditionalFormatting sqref="F94:F118">
    <cfRule type="expression" dxfId="195" priority="11">
      <formula>F94&gt;0</formula>
    </cfRule>
    <cfRule type="expression" dxfId="194" priority="12">
      <formula>F94&lt;0</formula>
    </cfRule>
  </conditionalFormatting>
  <conditionalFormatting sqref="F87">
    <cfRule type="expression" dxfId="193" priority="9">
      <formula>F87&gt;0</formula>
    </cfRule>
    <cfRule type="expression" dxfId="192" priority="10">
      <formula>F87&lt;0</formula>
    </cfRule>
  </conditionalFormatting>
  <conditionalFormatting sqref="H87">
    <cfRule type="expression" dxfId="191" priority="7">
      <formula>H87&gt;0</formula>
    </cfRule>
    <cfRule type="expression" dxfId="190" priority="8">
      <formula>H87&lt;0</formula>
    </cfRule>
  </conditionalFormatting>
  <conditionalFormatting sqref="F21:F24">
    <cfRule type="expression" dxfId="189" priority="5">
      <formula>F21&gt;0</formula>
    </cfRule>
    <cfRule type="expression" dxfId="188" priority="6">
      <formula>F21&lt;0</formula>
    </cfRule>
  </conditionalFormatting>
  <conditionalFormatting sqref="H21:H24">
    <cfRule type="expression" dxfId="187" priority="3">
      <formula>H21&gt;0</formula>
    </cfRule>
    <cfRule type="expression" dxfId="186" priority="4">
      <formula>H21&lt;0</formula>
    </cfRule>
  </conditionalFormatting>
  <conditionalFormatting sqref="J25:K27 J30:K37 J28:J29">
    <cfRule type="expression" dxfId="185" priority="1">
      <formula>J25&gt;0</formula>
    </cfRule>
    <cfRule type="expression" dxfId="184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106.03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106.03</v>
      </c>
      <c r="R4" s="475">
        <v>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206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57" t="s">
        <v>78</v>
      </c>
      <c r="P40" s="857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116.63300000000001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115.57270000000001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114.51240000000001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113.4521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112.3918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111.33150000000001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110.27120000000001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109.21090000000001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108.1506</v>
      </c>
      <c r="Q49" s="2"/>
      <c r="T49" s="91" t="s">
        <v>103</v>
      </c>
      <c r="U49" s="86" t="s">
        <v>511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107.0903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106.03</v>
      </c>
      <c r="Q51" s="2"/>
      <c r="T51" s="91" t="s">
        <v>104</v>
      </c>
      <c r="U51" s="86" t="s">
        <v>635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104.9697</v>
      </c>
      <c r="Q52" s="2"/>
      <c r="T52" s="91" t="s">
        <v>105</v>
      </c>
      <c r="U52" s="86" t="s">
        <v>636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103.90940000000001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102.84909999999999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101.78879999999999</v>
      </c>
      <c r="T55" s="91" t="s">
        <v>107</v>
      </c>
      <c r="U55" s="86" t="s">
        <v>637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100.7285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99.668199999999999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98.607900000000001</v>
      </c>
      <c r="T58" s="91" t="s">
        <v>108</v>
      </c>
      <c r="U58" s="86" t="s">
        <v>530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97.547600000000003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96.487300000000005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95.427000000000007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83" priority="15">
      <formula>F25&gt;0</formula>
    </cfRule>
    <cfRule type="expression" dxfId="182" priority="16">
      <formula>F25&lt;0</formula>
    </cfRule>
  </conditionalFormatting>
  <conditionalFormatting sqref="F32:F70">
    <cfRule type="expression" dxfId="181" priority="11">
      <formula>F32&gt;0</formula>
    </cfRule>
    <cfRule type="expression" dxfId="180" priority="12">
      <formula>F32&lt;0</formula>
    </cfRule>
  </conditionalFormatting>
  <conditionalFormatting sqref="F32:F70">
    <cfRule type="expression" dxfId="179" priority="13">
      <formula>F32&gt;0</formula>
    </cfRule>
    <cfRule type="expression" dxfId="178" priority="14">
      <formula>F32&lt;0</formula>
    </cfRule>
  </conditionalFormatting>
  <conditionalFormatting sqref="H25 H30:H70">
    <cfRule type="expression" dxfId="177" priority="9">
      <formula>H25&gt;0</formula>
    </cfRule>
    <cfRule type="expression" dxfId="176" priority="10">
      <formula>H25&lt;0</formula>
    </cfRule>
  </conditionalFormatting>
  <conditionalFormatting sqref="F26:F29">
    <cfRule type="expression" dxfId="175" priority="7">
      <formula>F26&gt;0</formula>
    </cfRule>
    <cfRule type="expression" dxfId="174" priority="8">
      <formula>F26&lt;0</formula>
    </cfRule>
  </conditionalFormatting>
  <conditionalFormatting sqref="H26:H29">
    <cfRule type="expression" dxfId="173" priority="5">
      <formula>H26&gt;0</formula>
    </cfRule>
    <cfRule type="expression" dxfId="172" priority="6">
      <formula>H26&lt;0</formula>
    </cfRule>
  </conditionalFormatting>
  <conditionalFormatting sqref="Q7">
    <cfRule type="expression" dxfId="171" priority="3">
      <formula>Q7&gt;0</formula>
    </cfRule>
    <cfRule type="expression" dxfId="170" priority="4">
      <formula>Q7&lt;0</formula>
    </cfRule>
  </conditionalFormatting>
  <conditionalFormatting sqref="Q8">
    <cfRule type="expression" dxfId="169" priority="1">
      <formula>Q8&gt;0</formula>
    </cfRule>
    <cfRule type="expression" dxfId="16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673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5.38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5.38</v>
      </c>
      <c r="R4" s="475">
        <v>-7.4000000000000003E-3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673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207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206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494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3">
        <f t="shared" ref="H36:H42" si="5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3">
        <f t="shared" si="5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3">
        <f t="shared" si="5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3">
        <f t="shared" si="5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3"/>
        <v>67.960000000000065</v>
      </c>
      <c r="G40" s="39">
        <f t="shared" si="4"/>
        <v>1664.04</v>
      </c>
      <c r="H40" s="223">
        <f t="shared" si="5"/>
        <v>4.0840364414317001E-2</v>
      </c>
      <c r="I40" s="39"/>
      <c r="J40" s="39"/>
      <c r="K40" s="39"/>
      <c r="O40" s="857" t="s">
        <v>78</v>
      </c>
      <c r="P40" s="857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3"/>
        <v>-3.9999999999906777E-2</v>
      </c>
      <c r="G41" s="39">
        <f t="shared" si="4"/>
        <v>1664.04</v>
      </c>
      <c r="H41" s="223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5.9180000000000001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3"/>
        <v>-48.039999999999594</v>
      </c>
      <c r="G42" s="39">
        <f t="shared" si="4"/>
        <v>3272.04</v>
      </c>
      <c r="H42" s="223">
        <f t="shared" si="5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6">O42*$Q$4</f>
        <v>5.8642000000000003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5.8104000000000005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291</v>
      </c>
      <c r="J44" s="39"/>
      <c r="K44" s="39"/>
      <c r="O44" s="81">
        <v>1.07</v>
      </c>
      <c r="P44" s="81">
        <f t="shared" si="6"/>
        <v>5.7566000000000006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7">C45*(E45-D45)</f>
        <v>-8.0399999999997362</v>
      </c>
      <c r="G45" s="39">
        <f t="shared" ref="G45:G51" si="8">D45*C45</f>
        <v>3272.04</v>
      </c>
      <c r="H45" s="223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5.7027999999999999</v>
      </c>
      <c r="Q45" s="2"/>
      <c r="T45" s="91" t="s">
        <v>99</v>
      </c>
      <c r="U45" s="86" t="s">
        <v>638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7"/>
        <v>75.919999999999987</v>
      </c>
      <c r="G46" s="39">
        <f t="shared" si="8"/>
        <v>1592.08</v>
      </c>
      <c r="H46" s="223">
        <f t="shared" si="9"/>
        <v>4.7686045927340326E-2</v>
      </c>
      <c r="I46" s="508">
        <v>3.9</v>
      </c>
      <c r="J46" s="39"/>
      <c r="K46" s="39"/>
      <c r="O46" s="81">
        <v>1.05</v>
      </c>
      <c r="P46" s="81">
        <f t="shared" si="6"/>
        <v>5.649</v>
      </c>
      <c r="Q46" s="2"/>
      <c r="T46" s="91" t="s">
        <v>100</v>
      </c>
      <c r="U46" s="86" t="s">
        <v>639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7"/>
        <v>15.919999999999845</v>
      </c>
      <c r="G47" s="39">
        <f t="shared" si="8"/>
        <v>3200.08</v>
      </c>
      <c r="H47" s="223">
        <f t="shared" si="9"/>
        <v>4.9748756281092496E-3</v>
      </c>
      <c r="I47" s="507" t="s">
        <v>298</v>
      </c>
      <c r="J47" s="39"/>
      <c r="K47" s="39"/>
      <c r="O47" s="81">
        <v>1.04</v>
      </c>
      <c r="P47" s="81">
        <f t="shared" si="6"/>
        <v>5.5952000000000002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7"/>
        <v>-548.07500000000005</v>
      </c>
      <c r="G48" s="39">
        <f t="shared" si="8"/>
        <v>4277.0749999999998</v>
      </c>
      <c r="H48" s="223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5.5414000000000003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7"/>
        <v>-849.07499999999959</v>
      </c>
      <c r="G49" s="39">
        <f t="shared" si="8"/>
        <v>5529.0749999999998</v>
      </c>
      <c r="H49" s="223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5.4875999999999996</v>
      </c>
      <c r="Q49" s="2"/>
      <c r="T49" s="91" t="s">
        <v>121</v>
      </c>
      <c r="U49" s="86" t="s">
        <v>419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7"/>
        <v>-22.110000000000252</v>
      </c>
      <c r="G50" s="39">
        <f t="shared" si="8"/>
        <v>4081.11</v>
      </c>
      <c r="H50" s="223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5.4337999999999997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7"/>
        <v>36.862000000000265</v>
      </c>
      <c r="G51" s="39">
        <f t="shared" si="8"/>
        <v>2581.1379999999999</v>
      </c>
      <c r="H51" s="223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5.38</v>
      </c>
      <c r="Q51" s="2"/>
      <c r="T51" s="91" t="s">
        <v>104</v>
      </c>
      <c r="U51" s="86" t="s">
        <v>640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0">C52*(E52-D52)</f>
        <v>-124.13800000000003</v>
      </c>
      <c r="G52" s="39">
        <f t="shared" ref="G52:G65" si="11">D52*C52</f>
        <v>2581.1379999999999</v>
      </c>
      <c r="H52" s="223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5.3262</v>
      </c>
      <c r="Q52" s="2"/>
      <c r="T52" s="91" t="s">
        <v>105</v>
      </c>
      <c r="U52" s="86" t="s">
        <v>516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0"/>
        <v>-12.137999999999938</v>
      </c>
      <c r="G53" s="39">
        <f t="shared" si="11"/>
        <v>2581.1379999999999</v>
      </c>
      <c r="H53" s="223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5.2724000000000002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0"/>
        <v>-166.0999999999998</v>
      </c>
      <c r="G54" s="39">
        <f t="shared" si="11"/>
        <v>4005.1</v>
      </c>
      <c r="H54" s="223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5.2185999999999995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0"/>
        <v>-414.14400000000012</v>
      </c>
      <c r="G55" s="39">
        <f t="shared" si="11"/>
        <v>6336.1440000000002</v>
      </c>
      <c r="H55" s="223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5.1647999999999996</v>
      </c>
      <c r="T55" s="91" t="s">
        <v>107</v>
      </c>
      <c r="U55" s="86" t="s">
        <v>641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0"/>
        <v>-180.14400000000029</v>
      </c>
      <c r="G56" s="39">
        <f t="shared" si="11"/>
        <v>6336.1440000000002</v>
      </c>
      <c r="H56" s="223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5.1109999999999998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0"/>
        <v>-163.63799999999929</v>
      </c>
      <c r="G57" s="39">
        <f t="shared" si="11"/>
        <v>6220.6379999999999</v>
      </c>
      <c r="H57" s="223">
        <f t="shared" si="12"/>
        <v>-2.6305661895130256E-2</v>
      </c>
      <c r="I57" s="39" t="s">
        <v>185</v>
      </c>
      <c r="J57" s="39"/>
      <c r="K57" s="39"/>
      <c r="O57" s="81">
        <v>0.94</v>
      </c>
      <c r="P57" s="81">
        <f t="shared" si="6"/>
        <v>5.0571999999999999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0"/>
        <v>202.27899999999988</v>
      </c>
      <c r="G58" s="39">
        <f t="shared" si="11"/>
        <v>3735.721</v>
      </c>
      <c r="H58" s="223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5.0034000000000001</v>
      </c>
      <c r="T58" s="91" t="s">
        <v>108</v>
      </c>
      <c r="U58" s="86" t="s">
        <v>546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0"/>
        <v>301.31199999999995</v>
      </c>
      <c r="G59" s="39">
        <f t="shared" si="11"/>
        <v>3735.6880000000001</v>
      </c>
      <c r="H59" s="223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4.9496000000000002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0"/>
        <v>257.3119999999999</v>
      </c>
      <c r="G60" s="39">
        <f t="shared" si="11"/>
        <v>3735.6880000000001</v>
      </c>
      <c r="H60" s="223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4.8958000000000004</v>
      </c>
    </row>
    <row r="61" spans="1:21" x14ac:dyDescent="0.25">
      <c r="A61" t="s">
        <v>343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0"/>
        <v>116.30999999999992</v>
      </c>
      <c r="G61" s="39">
        <f t="shared" si="11"/>
        <v>5103.6900000000005</v>
      </c>
      <c r="H61" s="223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4.8419999999999996</v>
      </c>
    </row>
    <row r="62" spans="1:21" x14ac:dyDescent="0.25">
      <c r="A62" t="s">
        <v>350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0"/>
        <v>50.310000000000258</v>
      </c>
      <c r="G62" s="39">
        <f t="shared" si="11"/>
        <v>6123.69</v>
      </c>
      <c r="H62" s="223">
        <f t="shared" si="12"/>
        <v>8.2156346908482062E-3</v>
      </c>
      <c r="I62" s="39"/>
      <c r="J62" s="39"/>
      <c r="K62" s="39"/>
    </row>
    <row r="63" spans="1:21" x14ac:dyDescent="0.25">
      <c r="A63" t="s">
        <v>351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0"/>
        <v>72.785999999999973</v>
      </c>
      <c r="G63" s="39">
        <f t="shared" si="11"/>
        <v>4743.2139999999999</v>
      </c>
      <c r="H63" s="223">
        <f t="shared" si="12"/>
        <v>1.5345291188632849E-2</v>
      </c>
      <c r="I63" s="39"/>
      <c r="J63" s="39"/>
      <c r="K63" s="39"/>
    </row>
    <row r="64" spans="1:21" x14ac:dyDescent="0.25">
      <c r="A64" t="s">
        <v>392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0"/>
        <v>44.785999999999945</v>
      </c>
      <c r="G64" s="39">
        <f t="shared" si="11"/>
        <v>4743.2139999999999</v>
      </c>
      <c r="H64" s="223">
        <f t="shared" si="12"/>
        <v>9.4421208910245146E-3</v>
      </c>
      <c r="I64" s="39"/>
      <c r="J64" s="39"/>
      <c r="K64" s="39"/>
    </row>
    <row r="65" spans="1:13" x14ac:dyDescent="0.25">
      <c r="A65" t="s">
        <v>395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0"/>
        <v>-63.239999999999519</v>
      </c>
      <c r="G65" s="39">
        <f t="shared" si="11"/>
        <v>6723.24</v>
      </c>
      <c r="H65" s="223">
        <f t="shared" si="12"/>
        <v>-9.4061791636174709E-3</v>
      </c>
      <c r="I65" s="39"/>
      <c r="J65" s="39"/>
      <c r="K65" s="227"/>
    </row>
    <row r="66" spans="1:13" x14ac:dyDescent="0.25">
      <c r="A66" t="s">
        <v>441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77" si="13">C66*(E66-D66)</f>
        <v>-23.239999999999483</v>
      </c>
      <c r="G66" s="39">
        <f t="shared" ref="G66:G79" si="14">D66*C66</f>
        <v>6723.24</v>
      </c>
      <c r="H66" s="223">
        <f t="shared" ref="H66:H77" si="15">(E66-D66)/D66</f>
        <v>-3.4566667261617143E-3</v>
      </c>
      <c r="I66" s="39"/>
      <c r="J66" s="39"/>
      <c r="K66" s="227"/>
    </row>
    <row r="67" spans="1:13" x14ac:dyDescent="0.25">
      <c r="A67" t="s">
        <v>444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3"/>
        <v>52.000000000000043</v>
      </c>
      <c r="G67" s="39">
        <f t="shared" si="14"/>
        <v>4329</v>
      </c>
      <c r="H67" s="223">
        <f t="shared" si="15"/>
        <v>1.2012012012012022E-2</v>
      </c>
      <c r="I67" s="39"/>
      <c r="J67" s="39"/>
      <c r="K67" s="227"/>
    </row>
    <row r="68" spans="1:13" x14ac:dyDescent="0.25">
      <c r="A68" t="s">
        <v>457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3"/>
        <v>24.720000000000297</v>
      </c>
      <c r="G68" s="39">
        <f t="shared" si="14"/>
        <v>6555.28</v>
      </c>
      <c r="H68" s="223">
        <f t="shared" si="15"/>
        <v>3.7710059677085188E-3</v>
      </c>
      <c r="I68" s="39" t="s">
        <v>458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si="13"/>
        <v>-1035.2800000000002</v>
      </c>
      <c r="G69" s="39">
        <f t="shared" si="14"/>
        <v>6555.28</v>
      </c>
      <c r="H69" s="223">
        <f t="shared" si="15"/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si="13"/>
        <v>-1733.9999999999995</v>
      </c>
      <c r="G70" s="39">
        <f t="shared" si="14"/>
        <v>8964</v>
      </c>
      <c r="H70" s="223">
        <f t="shared" si="15"/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13"/>
        <v>-1680.0000000000002</v>
      </c>
      <c r="G71" s="39">
        <f t="shared" si="14"/>
        <v>8910</v>
      </c>
      <c r="H71" s="223">
        <f t="shared" si="15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13"/>
        <v>-1376.4400000000007</v>
      </c>
      <c r="G72" s="39">
        <f t="shared" si="14"/>
        <v>7902.4400000000005</v>
      </c>
      <c r="H72" s="223">
        <f t="shared" si="15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si="13"/>
        <v>-1464.3599999999997</v>
      </c>
      <c r="G73" s="39">
        <f t="shared" si="14"/>
        <v>8874.36</v>
      </c>
      <c r="H73" s="223">
        <f t="shared" si="15"/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si="13"/>
        <v>-2594.4</v>
      </c>
      <c r="G74" s="39">
        <f t="shared" si="14"/>
        <v>11034.4</v>
      </c>
      <c r="H74" s="223">
        <f t="shared" si="15"/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si="13"/>
        <v>-2954.3999999999996</v>
      </c>
      <c r="G75" s="39">
        <f t="shared" si="14"/>
        <v>11034.4</v>
      </c>
      <c r="H75" s="223">
        <f t="shared" si="15"/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si="13"/>
        <v>-2514.4</v>
      </c>
      <c r="G76" s="39">
        <f t="shared" si="14"/>
        <v>11034.4</v>
      </c>
      <c r="H76" s="223">
        <f t="shared" si="15"/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si="13"/>
        <v>-5194.3999999999996</v>
      </c>
      <c r="G77" s="39">
        <f t="shared" si="14"/>
        <v>11034.4</v>
      </c>
      <c r="H77" s="223">
        <f t="shared" si="15"/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14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>C79*(E79-D79)</f>
        <v>-5856.0000000000009</v>
      </c>
      <c r="G79" s="39">
        <f t="shared" si="14"/>
        <v>10496</v>
      </c>
      <c r="H79" s="223">
        <f>(E79-D79)/D79</f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:F88" si="16">C81*(E81-D81)</f>
        <v>-6320.7819999999992</v>
      </c>
      <c r="G81" s="39">
        <f t="shared" ref="G81:G88" si="17">D81*C81</f>
        <v>8935.2819999999992</v>
      </c>
      <c r="H81" s="223">
        <f t="shared" ref="H81:H88" si="18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si="16"/>
        <v>-6554.2399999999989</v>
      </c>
      <c r="G82" s="39">
        <f t="shared" si="17"/>
        <v>10368.679999999998</v>
      </c>
      <c r="H82" s="223">
        <f t="shared" si="18"/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si="16"/>
        <v>-6705.86</v>
      </c>
      <c r="G83" s="39">
        <f t="shared" si="17"/>
        <v>10368.679999999998</v>
      </c>
      <c r="H83" s="223">
        <f t="shared" si="18"/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16"/>
        <v>-7259.1399999999994</v>
      </c>
      <c r="G84" s="39">
        <f t="shared" si="17"/>
        <v>10368.679999999998</v>
      </c>
      <c r="H84" s="223">
        <f t="shared" si="18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16"/>
        <v>-6971.8600000000006</v>
      </c>
      <c r="G85" s="39">
        <f t="shared" si="17"/>
        <v>10209.08</v>
      </c>
      <c r="H85" s="223">
        <f t="shared" si="18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16"/>
        <v>-7874.9657999999999</v>
      </c>
      <c r="G86" s="39">
        <f t="shared" si="17"/>
        <v>11117.7258</v>
      </c>
      <c r="H86" s="223">
        <f t="shared" si="18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16"/>
        <v>-8405.5560000000005</v>
      </c>
      <c r="G87" s="39">
        <f t="shared" si="17"/>
        <v>11117.616</v>
      </c>
      <c r="H87" s="223">
        <f t="shared" si="18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si="16"/>
        <v>-8203.4399999999987</v>
      </c>
      <c r="G88" s="39">
        <f t="shared" si="17"/>
        <v>10320.799999999999</v>
      </c>
      <c r="H88" s="223">
        <f t="shared" si="18"/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206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19">C126*(E126-D126)</f>
        <v>-89.999999999999858</v>
      </c>
      <c r="G126" s="363">
        <f t="shared" ref="G126:G134" si="20">D126*C126</f>
        <v>2175</v>
      </c>
      <c r="H126" s="365">
        <f t="shared" ref="H126:H134" si="21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19"/>
        <v>84.999999999999972</v>
      </c>
      <c r="G127" s="363">
        <f t="shared" si="20"/>
        <v>1045</v>
      </c>
      <c r="H127" s="365">
        <f t="shared" si="21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19"/>
        <v>40.000000000000036</v>
      </c>
      <c r="G128" s="363">
        <f t="shared" si="20"/>
        <v>2135</v>
      </c>
      <c r="H128" s="365">
        <f t="shared" si="21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19"/>
        <v>165.00000000000003</v>
      </c>
      <c r="G129" s="363">
        <f t="shared" si="20"/>
        <v>2135</v>
      </c>
      <c r="H129" s="365">
        <f t="shared" si="21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19"/>
        <v>40.000000000000036</v>
      </c>
      <c r="G130" s="363">
        <f t="shared" si="20"/>
        <v>1022.5</v>
      </c>
      <c r="H130" s="365">
        <f t="shared" si="21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19"/>
        <v>87.500000000000128</v>
      </c>
      <c r="G131" s="363">
        <f t="shared" si="20"/>
        <v>1022.5</v>
      </c>
      <c r="H131" s="365">
        <f t="shared" si="21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19"/>
        <v>302.5</v>
      </c>
      <c r="G132" s="363">
        <f t="shared" si="20"/>
        <v>1022.5</v>
      </c>
      <c r="H132" s="365">
        <f t="shared" si="21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19"/>
        <v>345</v>
      </c>
      <c r="G133" s="363">
        <f t="shared" si="20"/>
        <v>1022.5</v>
      </c>
      <c r="H133" s="365">
        <f t="shared" si="21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19"/>
        <v>385</v>
      </c>
      <c r="G134" s="363">
        <f t="shared" si="20"/>
        <v>1022.5</v>
      </c>
      <c r="H134" s="365">
        <f t="shared" si="21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67" priority="25">
      <formula>F34&gt;0</formula>
    </cfRule>
    <cfRule type="expression" dxfId="166" priority="26">
      <formula>F34&lt;0</formula>
    </cfRule>
  </conditionalFormatting>
  <conditionalFormatting sqref="H124:H131">
    <cfRule type="expression" dxfId="165" priority="23">
      <formula>H124&gt;0</formula>
    </cfRule>
    <cfRule type="expression" dxfId="164" priority="24">
      <formula>H124&lt;0</formula>
    </cfRule>
  </conditionalFormatting>
  <conditionalFormatting sqref="H132">
    <cfRule type="expression" dxfId="163" priority="21">
      <formula>H132&gt;0</formula>
    </cfRule>
    <cfRule type="expression" dxfId="162" priority="22">
      <formula>H132&lt;0</formula>
    </cfRule>
  </conditionalFormatting>
  <conditionalFormatting sqref="Q8">
    <cfRule type="expression" dxfId="161" priority="11">
      <formula>Q8&gt;0</formula>
    </cfRule>
    <cfRule type="expression" dxfId="160" priority="12">
      <formula>Q8&lt;0</formula>
    </cfRule>
  </conditionalFormatting>
  <conditionalFormatting sqref="Q7">
    <cfRule type="expression" dxfId="159" priority="13">
      <formula>Q7&gt;0</formula>
    </cfRule>
    <cfRule type="expression" dxfId="158" priority="14">
      <formula>Q7&lt;0</formula>
    </cfRule>
  </conditionalFormatting>
  <conditionalFormatting sqref="F36:F39">
    <cfRule type="expression" dxfId="157" priority="9">
      <formula>F36&gt;0</formula>
    </cfRule>
    <cfRule type="expression" dxfId="156" priority="10">
      <formula>F36&lt;0</formula>
    </cfRule>
  </conditionalFormatting>
  <conditionalFormatting sqref="H36:H39">
    <cfRule type="expression" dxfId="155" priority="7">
      <formula>H36&gt;0</formula>
    </cfRule>
    <cfRule type="expression" dxfId="154" priority="8">
      <formula>H36&lt;0</formula>
    </cfRule>
  </conditionalFormatting>
  <conditionalFormatting sqref="K65:K99">
    <cfRule type="expression" dxfId="153" priority="5">
      <formula>K65&gt;0</formula>
    </cfRule>
    <cfRule type="expression" dxfId="152" priority="6">
      <formula>K65&lt;0</formula>
    </cfRule>
  </conditionalFormatting>
  <conditionalFormatting sqref="K72">
    <cfRule type="expression" dxfId="151" priority="3">
      <formula>K72&gt;0</formula>
    </cfRule>
    <cfRule type="expression" dxfId="150" priority="4">
      <formula>K72&lt;0</formula>
    </cfRule>
  </conditionalFormatting>
  <conditionalFormatting sqref="M69">
    <cfRule type="expression" dxfId="149" priority="1">
      <formula>M69&gt;0</formula>
    </cfRule>
    <cfRule type="expression" dxfId="14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topLeftCell="B1" workbookViewId="0">
      <pane ySplit="1" topLeftCell="A2" activePane="bottomLeft" state="frozen"/>
      <selection activeCell="A2" sqref="A2"/>
      <selection pane="bottomLeft" activeCell="I10" sqref="I10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79">
        <v>43133</v>
      </c>
    </row>
    <row r="2" spans="1:40" x14ac:dyDescent="0.25">
      <c r="A2" s="6" t="s">
        <v>55</v>
      </c>
      <c r="B2" s="772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772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745">
        <v>28.5</v>
      </c>
      <c r="O2" s="11" t="s">
        <v>57</v>
      </c>
      <c r="Q2">
        <f>C18-H18</f>
        <v>0</v>
      </c>
      <c r="T2" s="1">
        <v>43096</v>
      </c>
      <c r="U2" t="s">
        <v>801</v>
      </c>
      <c r="W2" t="s">
        <v>799</v>
      </c>
      <c r="X2" s="739" t="s">
        <v>783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>
        <v>43279</v>
      </c>
      <c r="M3" s="744">
        <v>28.5</v>
      </c>
      <c r="O3" s="11" t="s">
        <v>58</v>
      </c>
      <c r="Q3" s="466">
        <f>IF(Q2=0, Q4, (F24-K24-M24)/Q2)</f>
        <v>76.75</v>
      </c>
      <c r="U3" t="s">
        <v>802</v>
      </c>
      <c r="X3" s="739" t="s">
        <v>784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76.75</v>
      </c>
      <c r="R4" s="475">
        <v>1.4E-3</v>
      </c>
      <c r="U4" t="s">
        <v>803</v>
      </c>
      <c r="X4" s="739" t="s">
        <v>785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739" t="s">
        <v>786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810</v>
      </c>
      <c r="AF5" s="738" t="s">
        <v>810</v>
      </c>
      <c r="AG5" s="738" t="s">
        <v>810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813</v>
      </c>
      <c r="X6" s="739" t="s">
        <v>787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924.07999999998992</v>
      </c>
      <c r="R7">
        <v>0</v>
      </c>
      <c r="X7" s="739" t="s">
        <v>788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113.94999999999982</v>
      </c>
      <c r="T8" s="1">
        <v>43109</v>
      </c>
      <c r="U8" t="s">
        <v>848</v>
      </c>
      <c r="X8" s="739" t="s">
        <v>800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207</v>
      </c>
      <c r="Q9" s="134">
        <f>IF(Q2=0, 0, Q8/Q6)</f>
        <v>0</v>
      </c>
      <c r="U9" t="s">
        <v>867</v>
      </c>
      <c r="X9" s="739" t="s">
        <v>811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206</v>
      </c>
      <c r="P10" s="33"/>
      <c r="Q10" s="2">
        <f>M54</f>
        <v>810.1299999999901</v>
      </c>
      <c r="X10" s="739" t="s">
        <v>812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2.7100977198697071E-2</v>
      </c>
      <c r="R11">
        <f>0.52</f>
        <v>0.52</v>
      </c>
      <c r="T11" s="1">
        <v>43112</v>
      </c>
      <c r="U11" t="s">
        <v>864</v>
      </c>
      <c r="X11" s="739" t="s">
        <v>797</v>
      </c>
      <c r="Y11" s="736">
        <f t="shared" ref="Y11:AD11" si="1">SUM(Y2:Y5)/Y7</f>
        <v>0.64177288157304813</v>
      </c>
      <c r="Z11" s="736">
        <f t="shared" si="1"/>
        <v>0.63926940639269403</v>
      </c>
      <c r="AA11" s="736">
        <f t="shared" si="1"/>
        <v>0.63458809218084755</v>
      </c>
      <c r="AB11" s="736">
        <f t="shared" si="1"/>
        <v>0.63569116967175221</v>
      </c>
      <c r="AC11" s="736">
        <f t="shared" si="1"/>
        <v>0.63344430572894994</v>
      </c>
      <c r="AD11" s="736">
        <f t="shared" si="1"/>
        <v>0.62888778303060466</v>
      </c>
      <c r="AE11" s="736">
        <f>SUM(AE2:AE5)/(AE7-AD5)</f>
        <v>0.74596251326181773</v>
      </c>
      <c r="AF11" s="736">
        <f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938</v>
      </c>
      <c r="Q12" s="1" t="s">
        <v>1197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965</v>
      </c>
      <c r="Q13">
        <f>Q4/6.46</f>
        <v>11.880804953560371</v>
      </c>
      <c r="T13" s="1">
        <v>43114</v>
      </c>
      <c r="U13" t="s">
        <v>868</v>
      </c>
      <c r="W13" t="s">
        <v>798</v>
      </c>
      <c r="X13" s="739" t="s">
        <v>789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866</v>
      </c>
      <c r="X14" s="739" t="s">
        <v>790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865</v>
      </c>
      <c r="X15" s="739" t="s">
        <v>791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792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883</v>
      </c>
      <c r="X17" s="739" t="s">
        <v>793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899</v>
      </c>
      <c r="X18" s="739" t="s">
        <v>794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869</v>
      </c>
      <c r="X19" s="739" t="s">
        <v>795</v>
      </c>
      <c r="Y19" s="741">
        <v>0.03</v>
      </c>
      <c r="Z19" s="741">
        <v>0.05</v>
      </c>
      <c r="AA19" s="81" t="s">
        <v>810</v>
      </c>
      <c r="AB19" s="2" t="s">
        <v>810</v>
      </c>
      <c r="AC19" s="763" t="s">
        <v>810</v>
      </c>
      <c r="AD19" s="738" t="s">
        <v>810</v>
      </c>
      <c r="AE19" s="738" t="s">
        <v>810</v>
      </c>
      <c r="AF19" s="738">
        <v>0.02</v>
      </c>
      <c r="AG19" s="738" t="s">
        <v>810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796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1034</v>
      </c>
      <c r="X21" s="739" t="s">
        <v>788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1039</v>
      </c>
      <c r="X22" s="739" t="s">
        <v>800</v>
      </c>
      <c r="Y22" s="81"/>
      <c r="Z22" s="742">
        <f t="shared" ref="Z22:AF22" si="2">(Z21-Y21)/Y21</f>
        <v>-3.0535538389755749E-2</v>
      </c>
      <c r="AA22" s="742">
        <f t="shared" si="2"/>
        <v>-6.7379679144385002E-2</v>
      </c>
      <c r="AB22" s="742">
        <f t="shared" si="2"/>
        <v>-0.1551605504587156</v>
      </c>
      <c r="AC22" s="742">
        <f t="shared" si="2"/>
        <v>4.8187864802497586E-2</v>
      </c>
      <c r="AD22" s="742">
        <f t="shared" si="2"/>
        <v>9.4794094794094896E-2</v>
      </c>
      <c r="AE22" s="742">
        <f t="shared" si="2"/>
        <v>-0.10716820440028391</v>
      </c>
      <c r="AF22" s="742">
        <f t="shared" si="2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811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739" t="s">
        <v>812</v>
      </c>
      <c r="Z24" s="223">
        <f t="shared" ref="Z24:AF24" si="4">(Z23-Y23)/Y23</f>
        <v>-3.259973362085377E-2</v>
      </c>
      <c r="AA24" s="223">
        <f t="shared" si="4"/>
        <v>-5.9267029436832049E-2</v>
      </c>
      <c r="AB24" s="223">
        <f t="shared" si="4"/>
        <v>-0.16356540525472166</v>
      </c>
      <c r="AC24" s="223">
        <f t="shared" si="4"/>
        <v>5.0324945842359657E-2</v>
      </c>
      <c r="AD24" s="223">
        <f t="shared" si="4"/>
        <v>9.8127875614786642E-2</v>
      </c>
      <c r="AE24" s="223">
        <f t="shared" si="4"/>
        <v>-0.11103084591490286</v>
      </c>
      <c r="AF24" s="223">
        <f t="shared" si="4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50</v>
      </c>
      <c r="D25" s="343"/>
      <c r="E25" s="343"/>
      <c r="F25" s="344">
        <f>SumByColor($A$25,F2:F23)</f>
        <v>3583</v>
      </c>
      <c r="G25" s="343"/>
      <c r="H25" s="343">
        <f>SumByColor($A$25,H2:H23)</f>
        <v>50</v>
      </c>
      <c r="I25" s="343"/>
      <c r="J25" s="343"/>
      <c r="K25" s="344">
        <f>SumByColor($A$25,K2:K23)</f>
        <v>3639</v>
      </c>
      <c r="L25" s="343"/>
      <c r="M25" s="344">
        <f>SumByColor($A$25,M2:M23)</f>
        <v>56</v>
      </c>
      <c r="T25" s="1">
        <v>43306</v>
      </c>
      <c r="U25" t="s">
        <v>82</v>
      </c>
      <c r="X25" s="739" t="s">
        <v>797</v>
      </c>
      <c r="Y25" s="742">
        <f t="shared" ref="Y25:AD25" si="5">Y23/Y21</f>
        <v>0.81740888589351457</v>
      </c>
      <c r="Z25" s="742">
        <f t="shared" si="5"/>
        <v>0.81566844919786097</v>
      </c>
      <c r="AA25" s="742">
        <f t="shared" si="5"/>
        <v>0.82276376146788999</v>
      </c>
      <c r="AB25" s="742">
        <f t="shared" si="5"/>
        <v>0.81457852585855839</v>
      </c>
      <c r="AC25" s="742">
        <f t="shared" si="5"/>
        <v>0.81623931623931623</v>
      </c>
      <c r="AD25" s="742">
        <f t="shared" si="5"/>
        <v>0.81872486396971844</v>
      </c>
      <c r="AE25" s="742">
        <f>AE23/AE21</f>
        <v>0.81518282988871227</v>
      </c>
      <c r="AF25" s="742">
        <f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494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222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222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222">
        <f t="shared" si="8"/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222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223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8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223">
        <f t="shared" si="8"/>
        <v>-2.5528293859028053E-3</v>
      </c>
      <c r="I35" s="339"/>
      <c r="J35" s="10"/>
      <c r="K35" s="39">
        <v>801</v>
      </c>
    </row>
    <row r="36" spans="1:22" x14ac:dyDescent="0.25">
      <c r="A36" s="4"/>
      <c r="B36" s="184">
        <v>43286</v>
      </c>
      <c r="C36" s="10">
        <v>0</v>
      </c>
      <c r="D36" s="39"/>
      <c r="E36" s="39"/>
      <c r="F36" s="39">
        <v>113.95</v>
      </c>
      <c r="G36" s="39"/>
      <c r="H36" s="223"/>
      <c r="I36" s="193"/>
      <c r="J36" s="10"/>
      <c r="K36" s="39">
        <v>924.08</v>
      </c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57" t="s">
        <v>78</v>
      </c>
      <c r="P42" s="857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84.425000000000011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9">O44*$Q$4</f>
        <v>83.657500000000013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9"/>
        <v>82.89</v>
      </c>
      <c r="Q45" s="2"/>
      <c r="T45" s="91" t="s">
        <v>99</v>
      </c>
      <c r="U45" s="86" t="s">
        <v>642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9"/>
        <v>82.122500000000002</v>
      </c>
      <c r="Q46" s="2"/>
      <c r="T46" s="91" t="s">
        <v>100</v>
      </c>
      <c r="U46" s="86" t="s">
        <v>643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9"/>
        <v>81.355000000000004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9"/>
        <v>80.587500000000006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9"/>
        <v>79.820000000000007</v>
      </c>
      <c r="Q49" s="2"/>
      <c r="T49" s="91" t="s">
        <v>103</v>
      </c>
      <c r="U49" s="86" t="s">
        <v>547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9"/>
        <v>79.052500000000009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9"/>
        <v>78.284999999999997</v>
      </c>
      <c r="Q51" s="2"/>
      <c r="T51" s="91" t="s">
        <v>104</v>
      </c>
      <c r="U51" s="86" t="s">
        <v>644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9"/>
        <v>77.517499999999998</v>
      </c>
      <c r="Q52" s="2"/>
      <c r="T52" s="91" t="s">
        <v>105</v>
      </c>
      <c r="U52" s="86" t="s">
        <v>409</v>
      </c>
      <c r="V52" s="86"/>
    </row>
    <row r="53" spans="1:22" x14ac:dyDescent="0.25">
      <c r="O53" s="81">
        <v>1</v>
      </c>
      <c r="P53" s="81">
        <f t="shared" si="9"/>
        <v>76.75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75.982500000000002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9"/>
        <v>75.215000000000003</v>
      </c>
      <c r="Q55" s="2"/>
      <c r="T55" s="91" t="s">
        <v>107</v>
      </c>
      <c r="U55" s="86" t="s">
        <v>645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10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9"/>
        <v>74.447499999999991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10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9"/>
        <v>73.679999999999993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10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9"/>
        <v>72.912499999999994</v>
      </c>
      <c r="T58" s="91" t="s">
        <v>108</v>
      </c>
      <c r="U58" s="86" t="s">
        <v>548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10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9"/>
        <v>72.144999999999996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10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9"/>
        <v>71.377499999999998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10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9"/>
        <v>70.61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10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9"/>
        <v>69.842500000000001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10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9"/>
        <v>69.075000000000003</v>
      </c>
    </row>
    <row r="64" spans="1:22" x14ac:dyDescent="0.25">
      <c r="A64" s="384" t="s">
        <v>209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10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10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11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10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11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10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11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10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11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10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11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10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11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10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11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10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11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10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11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10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11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10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11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10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11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10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11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10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11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10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11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10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11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10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494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14">C106*(E106-D106)</f>
        <v>103.99999999999991</v>
      </c>
      <c r="G106" s="363">
        <f t="shared" ref="G106:G169" si="15">D106*C106</f>
        <v>2555</v>
      </c>
      <c r="H106" s="364">
        <f t="shared" ref="H106:H169" si="16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14"/>
        <v>-54.250000000000043</v>
      </c>
      <c r="G107" s="363">
        <f t="shared" si="15"/>
        <v>2555</v>
      </c>
      <c r="H107" s="364">
        <f t="shared" si="16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14"/>
        <v>16.499999999999915</v>
      </c>
      <c r="G108" s="363">
        <f t="shared" si="15"/>
        <v>2555</v>
      </c>
      <c r="H108" s="364">
        <f t="shared" si="16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14"/>
        <v>-143.99999999999977</v>
      </c>
      <c r="G109" s="363">
        <f t="shared" si="15"/>
        <v>4956.5</v>
      </c>
      <c r="H109" s="364">
        <f t="shared" si="16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14"/>
        <v>-819.60000000000059</v>
      </c>
      <c r="G110" s="363">
        <f t="shared" si="15"/>
        <v>5782.2000000000007</v>
      </c>
      <c r="H110" s="364">
        <f t="shared" si="16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14"/>
        <v>-539</v>
      </c>
      <c r="G111" s="363">
        <f t="shared" si="15"/>
        <v>4901.5</v>
      </c>
      <c r="H111" s="364">
        <f t="shared" si="16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14"/>
        <v>-500.5000000000004</v>
      </c>
      <c r="G112" s="363">
        <f t="shared" si="15"/>
        <v>6662.6</v>
      </c>
      <c r="H112" s="365">
        <f t="shared" si="16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14"/>
        <v>-384.30000000000064</v>
      </c>
      <c r="G113" s="363">
        <f t="shared" si="15"/>
        <v>6662.6</v>
      </c>
      <c r="H113" s="365">
        <f t="shared" si="16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14"/>
        <v>-446.6000000000007</v>
      </c>
      <c r="G114" s="363">
        <f t="shared" si="15"/>
        <v>6662.6</v>
      </c>
      <c r="H114" s="365">
        <f t="shared" si="16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15"/>
        <v>6662.32</v>
      </c>
      <c r="H115" s="365">
        <f t="shared" si="16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15"/>
        <v>4850.55</v>
      </c>
      <c r="H116" s="365">
        <f t="shared" si="16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15"/>
        <v>4850.55</v>
      </c>
      <c r="H117" s="365">
        <f t="shared" si="16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17">C118*(E118-D118)</f>
        <v>-221.95000000000036</v>
      </c>
      <c r="G118" s="363">
        <f t="shared" si="15"/>
        <v>4820.4500000000007</v>
      </c>
      <c r="H118" s="365">
        <f t="shared" si="16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17"/>
        <v>-15.950000000000131</v>
      </c>
      <c r="G119" s="363">
        <f t="shared" si="15"/>
        <v>4820.4500000000007</v>
      </c>
      <c r="H119" s="365">
        <f t="shared" si="16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17"/>
        <v>94.050000000000011</v>
      </c>
      <c r="G120" s="363">
        <f t="shared" si="15"/>
        <v>4820.4500000000007</v>
      </c>
      <c r="H120" s="365">
        <f t="shared" si="16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17"/>
        <v>145.74999999999994</v>
      </c>
      <c r="G121" s="363">
        <f t="shared" si="15"/>
        <v>2334.25</v>
      </c>
      <c r="H121" s="365">
        <f t="shared" si="16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17"/>
        <v>59.499999999999886</v>
      </c>
      <c r="G122" s="363">
        <f t="shared" si="15"/>
        <v>4790.5</v>
      </c>
      <c r="H122" s="365">
        <f t="shared" si="16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17"/>
        <v>-422.59000000000043</v>
      </c>
      <c r="G123" s="363">
        <f t="shared" si="15"/>
        <v>6597.29</v>
      </c>
      <c r="H123" s="365">
        <f t="shared" si="16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17"/>
        <v>-461.29999999999995</v>
      </c>
      <c r="G124" s="363">
        <f t="shared" si="15"/>
        <v>9282.2999999999993</v>
      </c>
      <c r="H124" s="365">
        <f t="shared" si="16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17"/>
        <v>-814.29999999999859</v>
      </c>
      <c r="G125" s="363">
        <f t="shared" si="15"/>
        <v>9282.2999999999993</v>
      </c>
      <c r="H125" s="365">
        <f t="shared" si="16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17"/>
        <v>-1005.2999999999997</v>
      </c>
      <c r="G126" s="363">
        <f t="shared" si="15"/>
        <v>9282.2999999999993</v>
      </c>
      <c r="H126" s="365">
        <f t="shared" si="16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17"/>
        <v>-659.99999999999943</v>
      </c>
      <c r="G127" s="363">
        <f t="shared" si="15"/>
        <v>9282</v>
      </c>
      <c r="H127" s="365">
        <f t="shared" si="16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17"/>
        <v>-522.29999999999995</v>
      </c>
      <c r="G128" s="363">
        <f t="shared" si="15"/>
        <v>9282.2999999999993</v>
      </c>
      <c r="H128" s="365">
        <f t="shared" si="16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17"/>
        <v>-925</v>
      </c>
      <c r="G129" s="363">
        <f t="shared" si="15"/>
        <v>9282</v>
      </c>
      <c r="H129" s="365">
        <f t="shared" si="16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17"/>
        <v>-1102.9999999999986</v>
      </c>
      <c r="G130" s="363">
        <f t="shared" si="15"/>
        <v>9282</v>
      </c>
      <c r="H130" s="365">
        <f t="shared" si="16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17"/>
        <v>-1235.4000000000015</v>
      </c>
      <c r="G131" s="363">
        <f t="shared" si="15"/>
        <v>17329.400000000001</v>
      </c>
      <c r="H131" s="365">
        <f t="shared" si="16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17"/>
        <v>-1679.400000000001</v>
      </c>
      <c r="G132" s="363">
        <f t="shared" si="15"/>
        <v>17329.400000000001</v>
      </c>
      <c r="H132" s="365">
        <f t="shared" si="16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17"/>
        <v>-867.40000000000066</v>
      </c>
      <c r="G133" s="363">
        <f t="shared" si="15"/>
        <v>17329.400000000001</v>
      </c>
      <c r="H133" s="365">
        <f t="shared" si="16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17"/>
        <v>-828.30000000000155</v>
      </c>
      <c r="G134" s="363">
        <f t="shared" si="15"/>
        <v>17282.3</v>
      </c>
      <c r="H134" s="365">
        <f t="shared" si="16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17"/>
        <v>-422.48000000000019</v>
      </c>
      <c r="G135" s="363">
        <f t="shared" si="15"/>
        <v>8908.48</v>
      </c>
      <c r="H135" s="365">
        <f t="shared" si="16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17"/>
        <v>-519.48</v>
      </c>
      <c r="G136" s="363">
        <f t="shared" si="15"/>
        <v>8908.48</v>
      </c>
      <c r="H136" s="365">
        <f t="shared" si="16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17"/>
        <v>-253.48000000000042</v>
      </c>
      <c r="G137" s="363">
        <f t="shared" si="15"/>
        <v>8908.48</v>
      </c>
      <c r="H137" s="365">
        <f t="shared" si="16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17"/>
        <v>-215.47999999999945</v>
      </c>
      <c r="G138" s="363">
        <f t="shared" si="15"/>
        <v>8908.48</v>
      </c>
      <c r="H138" s="365">
        <f t="shared" si="16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17"/>
        <v>-364.48000000000036</v>
      </c>
      <c r="G139" s="363">
        <f t="shared" si="15"/>
        <v>8908.48</v>
      </c>
      <c r="H139" s="365">
        <f t="shared" si="16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17"/>
        <v>-242.48000000000047</v>
      </c>
      <c r="G140" s="363">
        <f t="shared" si="15"/>
        <v>8908.48</v>
      </c>
      <c r="H140" s="365">
        <f t="shared" si="16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17"/>
        <v>-184.48000000000064</v>
      </c>
      <c r="G141" s="363">
        <f t="shared" si="15"/>
        <v>8908.48</v>
      </c>
      <c r="H141" s="365">
        <f t="shared" si="16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17"/>
        <v>-253.48000000000042</v>
      </c>
      <c r="G142" s="363">
        <f t="shared" si="15"/>
        <v>8908.48</v>
      </c>
      <c r="H142" s="365">
        <f t="shared" si="16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17"/>
        <v>-53.480000000000416</v>
      </c>
      <c r="G143" s="363">
        <f t="shared" si="15"/>
        <v>8908.48</v>
      </c>
      <c r="H143" s="365">
        <f t="shared" si="16"/>
        <v>-6.0032687955746001E-3</v>
      </c>
      <c r="I143" s="701" t="s">
        <v>244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17"/>
        <v>-795.27600000000064</v>
      </c>
      <c r="G144" s="363">
        <f t="shared" si="15"/>
        <v>10521.276</v>
      </c>
      <c r="H144" s="365">
        <f t="shared" si="16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17"/>
        <v>-982.18499999999972</v>
      </c>
      <c r="G145" s="363">
        <f t="shared" si="15"/>
        <v>12902.684999999999</v>
      </c>
      <c r="H145" s="365">
        <f t="shared" si="16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17"/>
        <v>-1067.6849999999988</v>
      </c>
      <c r="G146" s="363">
        <f t="shared" si="15"/>
        <v>12902.684999999999</v>
      </c>
      <c r="H146" s="365">
        <f t="shared" si="16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17"/>
        <v>-955.18499999999881</v>
      </c>
      <c r="G147" s="363">
        <f t="shared" si="15"/>
        <v>12902.684999999999</v>
      </c>
      <c r="H147" s="365">
        <f t="shared" si="16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17"/>
        <v>-797.68499999999915</v>
      </c>
      <c r="G148" s="363">
        <f t="shared" si="15"/>
        <v>12902.684999999999</v>
      </c>
      <c r="H148" s="365">
        <f t="shared" si="16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17"/>
        <v>-814.18499999999904</v>
      </c>
      <c r="G149" s="363">
        <f t="shared" si="15"/>
        <v>12902.684999999999</v>
      </c>
      <c r="H149" s="365">
        <f t="shared" si="16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17"/>
        <v>-752.6849999999996</v>
      </c>
      <c r="G150" s="363">
        <f t="shared" si="15"/>
        <v>12902.684999999999</v>
      </c>
      <c r="H150" s="365">
        <f t="shared" si="16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17"/>
        <v>-682.18499999999972</v>
      </c>
      <c r="G151" s="363">
        <f t="shared" si="15"/>
        <v>12902.684999999999</v>
      </c>
      <c r="H151" s="365">
        <f t="shared" si="16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17"/>
        <v>-827.6849999999996</v>
      </c>
      <c r="G152" s="363">
        <f t="shared" si="15"/>
        <v>12902.684999999999</v>
      </c>
      <c r="H152" s="365">
        <f t="shared" si="16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17"/>
        <v>-890.68499999999983</v>
      </c>
      <c r="G153" s="363">
        <f t="shared" si="15"/>
        <v>12902.684999999999</v>
      </c>
      <c r="H153" s="365">
        <f t="shared" si="16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17"/>
        <v>-927.38400000000081</v>
      </c>
      <c r="G154" s="363">
        <f t="shared" si="15"/>
        <v>14488.284</v>
      </c>
      <c r="H154" s="365">
        <f t="shared" si="16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17"/>
        <v>-1241.8839999999998</v>
      </c>
      <c r="G155" s="363">
        <f t="shared" si="15"/>
        <v>14488.284</v>
      </c>
      <c r="H155" s="365">
        <f t="shared" si="16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17"/>
        <v>-1334.6800000000003</v>
      </c>
      <c r="G156" s="363">
        <f t="shared" si="15"/>
        <v>16818.68</v>
      </c>
      <c r="H156" s="365">
        <f t="shared" si="16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17"/>
        <v>-1440.6800000000003</v>
      </c>
      <c r="G157" s="363">
        <f t="shared" si="15"/>
        <v>16818.68</v>
      </c>
      <c r="H157" s="365">
        <f t="shared" si="16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17"/>
        <v>-1242.6800000000014</v>
      </c>
      <c r="G158" s="363">
        <f t="shared" si="15"/>
        <v>16818.68</v>
      </c>
      <c r="H158" s="365">
        <f t="shared" si="16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17"/>
        <v>-1020.6800000000015</v>
      </c>
      <c r="G159" s="363">
        <f t="shared" si="15"/>
        <v>16818.68</v>
      </c>
      <c r="H159" s="365">
        <f t="shared" si="16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17"/>
        <v>-462.68000000000029</v>
      </c>
      <c r="G160" s="363">
        <f t="shared" si="15"/>
        <v>16818.68</v>
      </c>
      <c r="H160" s="365">
        <f t="shared" si="16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17"/>
        <v>-514.68000000000131</v>
      </c>
      <c r="G161" s="363">
        <f t="shared" si="15"/>
        <v>16818.68</v>
      </c>
      <c r="H161" s="365">
        <f t="shared" si="16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17"/>
        <v>-968.68000000000052</v>
      </c>
      <c r="G162" s="363">
        <f t="shared" si="15"/>
        <v>16818.68</v>
      </c>
      <c r="H162" s="365">
        <f t="shared" si="16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17"/>
        <v>-900.67999999999984</v>
      </c>
      <c r="G163" s="363">
        <f t="shared" si="15"/>
        <v>16724.68</v>
      </c>
      <c r="H163" s="365">
        <f t="shared" si="16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17"/>
        <v>-1097.7599999999995</v>
      </c>
      <c r="G164" s="363">
        <f t="shared" si="15"/>
        <v>16703.759999999998</v>
      </c>
      <c r="H164" s="365">
        <f t="shared" si="16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17"/>
        <v>-1470.25</v>
      </c>
      <c r="G165" s="363">
        <f t="shared" si="15"/>
        <v>20522.75</v>
      </c>
      <c r="H165" s="365">
        <f t="shared" si="16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17"/>
        <v>-1712.7499999999998</v>
      </c>
      <c r="G166" s="363">
        <f t="shared" si="15"/>
        <v>20522.75</v>
      </c>
      <c r="H166" s="365">
        <f t="shared" si="16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17"/>
        <v>-2170.2499999999995</v>
      </c>
      <c r="G167" s="363">
        <f t="shared" si="15"/>
        <v>20522.75</v>
      </c>
      <c r="H167" s="365">
        <f t="shared" si="16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17"/>
        <v>-2395.2499999999973</v>
      </c>
      <c r="G168" s="363">
        <f t="shared" si="15"/>
        <v>20522.75</v>
      </c>
      <c r="H168" s="365">
        <f t="shared" si="16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17"/>
        <v>-1409.9999999999995</v>
      </c>
      <c r="G169" s="363">
        <f t="shared" si="15"/>
        <v>16498</v>
      </c>
      <c r="H169" s="365">
        <f t="shared" si="16"/>
        <v>-8.5464904836949906E-2</v>
      </c>
      <c r="I169" s="489" t="s">
        <v>300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17"/>
        <v>-1757.9999999999984</v>
      </c>
      <c r="G170" s="363">
        <f t="shared" ref="G170:G202" si="18">D170*C170</f>
        <v>16498</v>
      </c>
      <c r="H170" s="365">
        <f t="shared" ref="H170:H204" si="19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17"/>
        <v>-1954.0000000000007</v>
      </c>
      <c r="G171" s="363">
        <f t="shared" si="18"/>
        <v>20164</v>
      </c>
      <c r="H171" s="365">
        <f t="shared" si="19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17"/>
        <v>-1457.1799999999996</v>
      </c>
      <c r="G172" s="363">
        <f t="shared" si="18"/>
        <v>16425.18</v>
      </c>
      <c r="H172" s="365">
        <f t="shared" si="19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17"/>
        <v>-1412.67</v>
      </c>
      <c r="G173" s="363">
        <f t="shared" si="18"/>
        <v>12638.67</v>
      </c>
      <c r="H173" s="365">
        <f t="shared" si="19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17"/>
        <v>-1429.6799999999989</v>
      </c>
      <c r="G174" s="363">
        <f t="shared" si="18"/>
        <v>16397.68</v>
      </c>
      <c r="H174" s="365">
        <f t="shared" si="19"/>
        <v>-8.718794366032262E-2</v>
      </c>
      <c r="I174" s="489" t="s">
        <v>310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17"/>
        <v>-2201.6750000000015</v>
      </c>
      <c r="G175" s="363">
        <f t="shared" si="18"/>
        <v>20221.675000000003</v>
      </c>
      <c r="H175" s="365">
        <f t="shared" si="19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17"/>
        <v>-1864.1749999999995</v>
      </c>
      <c r="G176" s="363">
        <f t="shared" si="18"/>
        <v>19884.174999999999</v>
      </c>
      <c r="H176" s="365">
        <f t="shared" si="19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17"/>
        <v>-1373.260000000002</v>
      </c>
      <c r="G177" s="363">
        <f t="shared" si="18"/>
        <v>16205.260000000002</v>
      </c>
      <c r="H177" s="365">
        <f t="shared" si="19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17"/>
        <v>-929.26000000000215</v>
      </c>
      <c r="G178" s="363">
        <f t="shared" si="18"/>
        <v>16205.260000000002</v>
      </c>
      <c r="H178" s="365">
        <f t="shared" si="19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17"/>
        <v>-1451.260000000002</v>
      </c>
      <c r="G179" s="363">
        <f t="shared" si="18"/>
        <v>16205.260000000002</v>
      </c>
      <c r="H179" s="365">
        <f t="shared" si="19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17"/>
        <v>-1821.7500000000016</v>
      </c>
      <c r="G180" s="363">
        <f t="shared" si="18"/>
        <v>19799.25</v>
      </c>
      <c r="H180" s="365">
        <f t="shared" si="19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336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17"/>
        <v>-2035.2599999999995</v>
      </c>
      <c r="G181" s="363">
        <f t="shared" si="18"/>
        <v>23338.260000000002</v>
      </c>
      <c r="H181" s="365">
        <f t="shared" si="19"/>
        <v>-8.7207015433027113E-2</v>
      </c>
      <c r="I181" s="701"/>
      <c r="J181" s="362"/>
      <c r="K181" s="362"/>
      <c r="L181" s="362"/>
    </row>
    <row r="182" spans="1:12" x14ac:dyDescent="0.25">
      <c r="A182" s="362" t="s">
        <v>355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20">C182*(E182-D182)</f>
        <v>-1804.4750000000001</v>
      </c>
      <c r="G182" s="363">
        <f t="shared" si="18"/>
        <v>19749.474999999999</v>
      </c>
      <c r="H182" s="365">
        <f t="shared" si="19"/>
        <v>-9.1368251561117442E-2</v>
      </c>
      <c r="I182" s="489" t="s">
        <v>369</v>
      </c>
      <c r="J182" s="362"/>
      <c r="K182" s="362"/>
      <c r="L182" s="362"/>
    </row>
    <row r="183" spans="1:12" x14ac:dyDescent="0.25">
      <c r="A183" s="362" t="s">
        <v>355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20"/>
        <v>-1934.474999999999</v>
      </c>
      <c r="G183" s="363">
        <f t="shared" si="18"/>
        <v>19749.474999999999</v>
      </c>
      <c r="H183" s="365">
        <f t="shared" si="19"/>
        <v>-9.7950705018740952E-2</v>
      </c>
      <c r="I183" s="701"/>
      <c r="J183" s="362"/>
      <c r="K183" s="362"/>
      <c r="L183" s="362"/>
    </row>
    <row r="184" spans="1:12" x14ac:dyDescent="0.25">
      <c r="A184" s="362" t="s">
        <v>391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20"/>
        <v>-1664.4749999999995</v>
      </c>
      <c r="G184" s="363">
        <f t="shared" si="18"/>
        <v>19749.474999999999</v>
      </c>
      <c r="H184" s="365">
        <f t="shared" si="19"/>
        <v>-8.4279455529830516E-2</v>
      </c>
      <c r="I184" s="701"/>
      <c r="J184" s="362"/>
      <c r="K184" s="362"/>
      <c r="L184" s="362"/>
    </row>
    <row r="185" spans="1:12" x14ac:dyDescent="0.25">
      <c r="A185" s="362" t="s">
        <v>336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20"/>
        <v>-1284.3300000000027</v>
      </c>
      <c r="G185" s="363">
        <f t="shared" si="18"/>
        <v>23223.33</v>
      </c>
      <c r="H185" s="365">
        <f t="shared" si="19"/>
        <v>-5.5303438395785734E-2</v>
      </c>
      <c r="I185" s="701"/>
      <c r="J185" s="362"/>
      <c r="K185" s="362"/>
      <c r="L185" s="362"/>
    </row>
    <row r="186" spans="1:12" x14ac:dyDescent="0.25">
      <c r="A186" s="362" t="s">
        <v>404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20"/>
        <v>-3507.3149999999991</v>
      </c>
      <c r="G186" s="363">
        <f t="shared" si="18"/>
        <v>26607.314999999999</v>
      </c>
      <c r="H186" s="365">
        <f t="shared" si="19"/>
        <v>-0.13181769750160807</v>
      </c>
      <c r="I186" s="701"/>
      <c r="J186" s="362"/>
      <c r="K186" s="362"/>
      <c r="L186" s="362"/>
    </row>
    <row r="187" spans="1:12" x14ac:dyDescent="0.25">
      <c r="A187" s="362" t="s">
        <v>422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20"/>
        <v>-2464.409999999998</v>
      </c>
      <c r="G187" s="363">
        <f t="shared" si="18"/>
        <v>23158.41</v>
      </c>
      <c r="H187" s="365">
        <f t="shared" si="19"/>
        <v>-0.10641533680421057</v>
      </c>
      <c r="I187" s="701"/>
      <c r="J187" s="362"/>
      <c r="K187" s="362"/>
      <c r="L187" s="362"/>
    </row>
    <row r="188" spans="1:12" x14ac:dyDescent="0.25">
      <c r="A188" s="362" t="s">
        <v>425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20"/>
        <v>-2221</v>
      </c>
      <c r="G188" s="363">
        <f t="shared" si="18"/>
        <v>19671</v>
      </c>
      <c r="H188" s="365">
        <f t="shared" si="19"/>
        <v>-0.11290732550454985</v>
      </c>
      <c r="I188" s="701"/>
      <c r="J188" s="362"/>
      <c r="K188" s="362"/>
      <c r="L188" s="362"/>
    </row>
    <row r="189" spans="1:12" x14ac:dyDescent="0.25">
      <c r="A189" s="362" t="s">
        <v>439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20"/>
        <v>-2463.5</v>
      </c>
      <c r="G189" s="363">
        <f t="shared" si="18"/>
        <v>19671</v>
      </c>
      <c r="H189" s="365">
        <f t="shared" si="19"/>
        <v>-0.12523511768593359</v>
      </c>
      <c r="I189" s="701"/>
      <c r="J189" s="362"/>
      <c r="K189" s="362"/>
      <c r="L189" s="362"/>
    </row>
    <row r="190" spans="1:12" x14ac:dyDescent="0.25">
      <c r="A190" s="362" t="s">
        <v>391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20"/>
        <v>-2186</v>
      </c>
      <c r="G190" s="363">
        <f t="shared" si="18"/>
        <v>19671</v>
      </c>
      <c r="H190" s="365">
        <f t="shared" si="19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20"/>
        <v>-2728.5000000000005</v>
      </c>
      <c r="G191" s="363">
        <f t="shared" si="18"/>
        <v>19671</v>
      </c>
      <c r="H191" s="365">
        <f t="shared" si="19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20"/>
        <v>-2553.4999999999995</v>
      </c>
      <c r="G192" s="363">
        <f t="shared" si="18"/>
        <v>19671</v>
      </c>
      <c r="H192" s="365">
        <f t="shared" si="19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20"/>
        <v>-2793.4999999999982</v>
      </c>
      <c r="G193" s="363">
        <f t="shared" si="18"/>
        <v>19671</v>
      </c>
      <c r="H193" s="365">
        <f t="shared" si="19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20"/>
        <v>-2561</v>
      </c>
      <c r="G194" s="363">
        <f t="shared" si="18"/>
        <v>19541</v>
      </c>
      <c r="H194" s="365">
        <f t="shared" si="19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20"/>
        <v>-3036.0000000000014</v>
      </c>
      <c r="G195" s="363">
        <f t="shared" si="18"/>
        <v>19541</v>
      </c>
      <c r="H195" s="365">
        <f t="shared" si="19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20"/>
        <v>-2591.0000000000009</v>
      </c>
      <c r="G196" s="363">
        <f t="shared" si="18"/>
        <v>19541</v>
      </c>
      <c r="H196" s="365">
        <f t="shared" si="19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20"/>
        <v>-1716.0000000000011</v>
      </c>
      <c r="G197" s="363">
        <f t="shared" si="18"/>
        <v>19411</v>
      </c>
      <c r="H197" s="365">
        <f t="shared" si="19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20"/>
        <v>-829.07999999999902</v>
      </c>
      <c r="G198" s="363">
        <f t="shared" si="18"/>
        <v>15707.08</v>
      </c>
      <c r="H198" s="365">
        <f t="shared" si="19"/>
        <v>-5.2783840153612198E-2</v>
      </c>
      <c r="I198" s="701" t="s">
        <v>701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20"/>
        <v>-490.00000000000057</v>
      </c>
      <c r="G199" s="363">
        <f t="shared" si="18"/>
        <v>15708.000000000002</v>
      </c>
      <c r="H199" s="365">
        <f t="shared" si="19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20"/>
        <v>-1076.0000000000018</v>
      </c>
      <c r="G200" s="363">
        <f t="shared" si="18"/>
        <v>15708.000000000002</v>
      </c>
      <c r="H200" s="365">
        <f t="shared" si="19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20"/>
        <v>474.00000000000091</v>
      </c>
      <c r="G201" s="363">
        <f t="shared" si="18"/>
        <v>7648.9999999999991</v>
      </c>
      <c r="H201" s="365">
        <f t="shared" si="19"/>
        <v>6.1968884821545424E-2</v>
      </c>
      <c r="I201" s="701" t="s">
        <v>688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20"/>
        <v>696.99999999999989</v>
      </c>
      <c r="G202" s="363">
        <f t="shared" si="18"/>
        <v>3490.5</v>
      </c>
      <c r="H202" s="365">
        <f t="shared" si="19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20"/>
        <v>671.99999999999989</v>
      </c>
      <c r="G203" s="363"/>
      <c r="H203" s="365">
        <f t="shared" si="19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20"/>
        <v>713.65000000000055</v>
      </c>
      <c r="G204" s="363">
        <f>D204*C204</f>
        <v>3435.3499999999995</v>
      </c>
      <c r="H204" s="365">
        <f t="shared" si="19"/>
        <v>0.2077372029050899</v>
      </c>
      <c r="I204" s="701"/>
      <c r="J204" s="362"/>
      <c r="K204" s="362"/>
      <c r="L204" s="362"/>
    </row>
    <row r="205" spans="1:12" x14ac:dyDescent="0.25">
      <c r="A205" s="801"/>
      <c r="B205" s="801"/>
      <c r="C205" s="801"/>
      <c r="D205" s="802"/>
      <c r="E205" s="802"/>
      <c r="F205" s="802"/>
      <c r="G205" s="802"/>
      <c r="H205" s="803"/>
      <c r="I205" s="804"/>
      <c r="J205" s="801"/>
      <c r="K205" s="801"/>
      <c r="L205" s="801"/>
    </row>
    <row r="206" spans="1:12" x14ac:dyDescent="0.25">
      <c r="A206" s="801"/>
      <c r="B206" s="801"/>
      <c r="C206" s="801"/>
      <c r="D206" s="802"/>
      <c r="E206" s="802"/>
      <c r="F206" s="802"/>
      <c r="G206" s="802"/>
      <c r="H206" s="803"/>
      <c r="I206" s="804"/>
      <c r="J206" s="801"/>
      <c r="K206" s="801"/>
      <c r="L206" s="801"/>
    </row>
    <row r="207" spans="1:12" x14ac:dyDescent="0.25">
      <c r="A207" s="801"/>
      <c r="B207" s="805">
        <v>42984</v>
      </c>
      <c r="C207" s="801">
        <v>50</v>
      </c>
      <c r="D207" s="802">
        <v>81.88</v>
      </c>
      <c r="E207" s="802">
        <v>82.66</v>
      </c>
      <c r="F207" s="802">
        <f t="shared" ref="F207:F225" si="21">C207*(E207-D207)</f>
        <v>39.000000000000057</v>
      </c>
      <c r="G207" s="802">
        <f t="shared" ref="G207:G225" si="22">D207*C207</f>
        <v>4094</v>
      </c>
      <c r="H207" s="806">
        <f t="shared" ref="H207:H225" si="23">(E207-D207)/D207</f>
        <v>9.5261358085002579E-3</v>
      </c>
      <c r="I207" s="807"/>
      <c r="J207" s="801"/>
      <c r="K207" s="801"/>
      <c r="L207" s="801"/>
    </row>
    <row r="208" spans="1:12" x14ac:dyDescent="0.25">
      <c r="A208" s="801"/>
      <c r="B208" s="805">
        <v>42988</v>
      </c>
      <c r="C208" s="801">
        <v>50</v>
      </c>
      <c r="D208" s="802">
        <v>81.88</v>
      </c>
      <c r="E208" s="802">
        <v>85.1</v>
      </c>
      <c r="F208" s="802">
        <f t="shared" si="21"/>
        <v>160.99999999999994</v>
      </c>
      <c r="G208" s="802">
        <f t="shared" si="22"/>
        <v>4094</v>
      </c>
      <c r="H208" s="806">
        <f t="shared" si="23"/>
        <v>3.9325842696629199E-2</v>
      </c>
      <c r="I208" s="804"/>
      <c r="J208" s="801"/>
      <c r="K208" s="801"/>
      <c r="L208" s="801"/>
    </row>
    <row r="209" spans="1:12" x14ac:dyDescent="0.25">
      <c r="A209" s="801"/>
      <c r="B209" s="805">
        <v>42992</v>
      </c>
      <c r="C209" s="801">
        <v>100</v>
      </c>
      <c r="D209" s="802">
        <v>81.844999999999999</v>
      </c>
      <c r="E209" s="802">
        <v>82.28</v>
      </c>
      <c r="F209" s="802">
        <f t="shared" si="21"/>
        <v>43.500000000000227</v>
      </c>
      <c r="G209" s="802">
        <f t="shared" si="22"/>
        <v>8184.5</v>
      </c>
      <c r="H209" s="806">
        <f t="shared" si="23"/>
        <v>5.3149245525078168E-3</v>
      </c>
      <c r="I209" s="804"/>
      <c r="J209" s="801"/>
      <c r="K209" s="801"/>
      <c r="L209" s="801"/>
    </row>
    <row r="210" spans="1:12" x14ac:dyDescent="0.25">
      <c r="A210" s="801">
        <v>0</v>
      </c>
      <c r="B210" s="805">
        <v>43018</v>
      </c>
      <c r="C210" s="801">
        <v>50</v>
      </c>
      <c r="D210" s="802">
        <v>80.102000000000004</v>
      </c>
      <c r="E210" s="802">
        <v>81.98</v>
      </c>
      <c r="F210" s="802">
        <f t="shared" si="21"/>
        <v>93.9</v>
      </c>
      <c r="G210" s="802">
        <f t="shared" si="22"/>
        <v>4005.1000000000004</v>
      </c>
      <c r="H210" s="806">
        <f t="shared" si="23"/>
        <v>2.3445107487952862E-2</v>
      </c>
      <c r="I210" s="802">
        <v>75.5</v>
      </c>
      <c r="J210" s="801"/>
      <c r="K210" s="802">
        <v>805.57</v>
      </c>
      <c r="L210" s="801"/>
    </row>
    <row r="211" spans="1:12" x14ac:dyDescent="0.25">
      <c r="A211" s="801">
        <v>0</v>
      </c>
      <c r="B211" s="805">
        <v>43020</v>
      </c>
      <c r="C211" s="801">
        <v>100</v>
      </c>
      <c r="D211" s="802">
        <v>80.891000000000005</v>
      </c>
      <c r="E211" s="802">
        <v>81.680000000000007</v>
      </c>
      <c r="F211" s="802">
        <f t="shared" si="21"/>
        <v>78.900000000000148</v>
      </c>
      <c r="G211" s="802">
        <f t="shared" si="22"/>
        <v>8089.1</v>
      </c>
      <c r="H211" s="803">
        <f t="shared" si="23"/>
        <v>9.7538663139286382E-3</v>
      </c>
      <c r="I211" s="802">
        <v>80</v>
      </c>
      <c r="J211" s="801"/>
      <c r="K211" s="802">
        <v>757</v>
      </c>
      <c r="L211" s="801"/>
    </row>
    <row r="212" spans="1:12" x14ac:dyDescent="0.25">
      <c r="A212" s="801">
        <v>50</v>
      </c>
      <c r="B212" s="805">
        <v>43035</v>
      </c>
      <c r="C212" s="801">
        <v>150</v>
      </c>
      <c r="D212" s="802">
        <v>78.554000000000002</v>
      </c>
      <c r="E212" s="802">
        <v>73.28</v>
      </c>
      <c r="F212" s="802">
        <f t="shared" si="21"/>
        <v>-791.10000000000014</v>
      </c>
      <c r="G212" s="802">
        <f t="shared" si="22"/>
        <v>11783.1</v>
      </c>
      <c r="H212" s="803">
        <f t="shared" si="23"/>
        <v>-6.713852891004915E-2</v>
      </c>
      <c r="I212" s="804"/>
      <c r="J212" s="801"/>
      <c r="K212" s="802">
        <v>-132</v>
      </c>
      <c r="L212" s="801"/>
    </row>
    <row r="213" spans="1:12" x14ac:dyDescent="0.25">
      <c r="A213" s="801"/>
      <c r="B213" s="805">
        <v>43035</v>
      </c>
      <c r="C213" s="801">
        <v>100</v>
      </c>
      <c r="D213" s="802">
        <v>79.691900000000004</v>
      </c>
      <c r="E213" s="802">
        <v>76.28</v>
      </c>
      <c r="F213" s="802">
        <f t="shared" si="21"/>
        <v>-341.19000000000028</v>
      </c>
      <c r="G213" s="802">
        <f t="shared" si="22"/>
        <v>7969.1900000000005</v>
      </c>
      <c r="H213" s="803">
        <f t="shared" si="23"/>
        <v>-4.2813636015705522E-2</v>
      </c>
      <c r="I213" s="808" t="s">
        <v>748</v>
      </c>
      <c r="J213" s="801"/>
      <c r="K213" s="802">
        <v>317</v>
      </c>
      <c r="L213" s="801"/>
    </row>
    <row r="214" spans="1:12" x14ac:dyDescent="0.25">
      <c r="A214" s="801"/>
      <c r="B214" s="805">
        <v>43044</v>
      </c>
      <c r="C214" s="801">
        <v>100</v>
      </c>
      <c r="D214" s="802">
        <v>79.69</v>
      </c>
      <c r="E214" s="802">
        <v>73.459999999999994</v>
      </c>
      <c r="F214" s="802">
        <f t="shared" si="21"/>
        <v>-623.00000000000045</v>
      </c>
      <c r="G214" s="802">
        <f t="shared" si="22"/>
        <v>7969</v>
      </c>
      <c r="H214" s="803">
        <f t="shared" si="23"/>
        <v>-7.8177939515623088E-2</v>
      </c>
      <c r="I214" s="804"/>
      <c r="J214" s="801">
        <v>23.71</v>
      </c>
      <c r="K214" s="802">
        <v>35</v>
      </c>
      <c r="L214" s="801"/>
    </row>
    <row r="215" spans="1:12" x14ac:dyDescent="0.25">
      <c r="A215" s="809">
        <v>50</v>
      </c>
      <c r="B215" s="805">
        <v>43053</v>
      </c>
      <c r="C215" s="801">
        <v>150</v>
      </c>
      <c r="D215" s="802">
        <v>76.989999999999995</v>
      </c>
      <c r="E215" s="802">
        <v>71.150000000000006</v>
      </c>
      <c r="F215" s="802">
        <f t="shared" si="21"/>
        <v>-875.99999999999841</v>
      </c>
      <c r="G215" s="802">
        <f t="shared" si="22"/>
        <v>11548.5</v>
      </c>
      <c r="H215" s="803">
        <f t="shared" si="23"/>
        <v>-7.5854007013897773E-2</v>
      </c>
      <c r="I215" s="802">
        <v>76.5</v>
      </c>
      <c r="J215" s="801"/>
      <c r="K215" s="802">
        <v>-217</v>
      </c>
      <c r="L215" s="801"/>
    </row>
    <row r="216" spans="1:12" x14ac:dyDescent="0.25">
      <c r="A216" s="809">
        <v>50</v>
      </c>
      <c r="B216" s="805">
        <v>43068</v>
      </c>
      <c r="C216" s="801">
        <v>100</v>
      </c>
      <c r="D216" s="802">
        <v>78.392799999999994</v>
      </c>
      <c r="E216" s="802">
        <v>73.67</v>
      </c>
      <c r="F216" s="802">
        <f t="shared" si="21"/>
        <v>-472.27999999999923</v>
      </c>
      <c r="G216" s="802">
        <f t="shared" si="22"/>
        <v>7839.28</v>
      </c>
      <c r="H216" s="803">
        <f t="shared" si="23"/>
        <v>-6.0245328652631269E-2</v>
      </c>
      <c r="I216" s="808" t="s">
        <v>758</v>
      </c>
      <c r="J216" s="801"/>
      <c r="K216" s="802">
        <v>186</v>
      </c>
      <c r="L216" s="801"/>
    </row>
    <row r="217" spans="1:12" x14ac:dyDescent="0.25">
      <c r="A217" s="809">
        <v>100</v>
      </c>
      <c r="B217" s="805">
        <v>43090</v>
      </c>
      <c r="C217" s="801">
        <v>150</v>
      </c>
      <c r="D217" s="802">
        <v>76.688500000000005</v>
      </c>
      <c r="E217" s="802">
        <v>73.02</v>
      </c>
      <c r="F217" s="802">
        <f t="shared" si="21"/>
        <v>-550.27500000000134</v>
      </c>
      <c r="G217" s="802">
        <f t="shared" si="22"/>
        <v>11503.275000000001</v>
      </c>
      <c r="H217" s="803">
        <f t="shared" si="23"/>
        <v>-4.7836377031758456E-2</v>
      </c>
      <c r="I217" s="804"/>
      <c r="J217" s="801">
        <v>43.77</v>
      </c>
      <c r="K217" s="802">
        <v>108</v>
      </c>
      <c r="L217" s="801"/>
    </row>
    <row r="218" spans="1:12" x14ac:dyDescent="0.25">
      <c r="A218" s="809">
        <v>100</v>
      </c>
      <c r="B218" s="805">
        <v>43098</v>
      </c>
      <c r="C218" s="801">
        <v>150</v>
      </c>
      <c r="D218" s="802">
        <v>76.341999999999999</v>
      </c>
      <c r="E218" s="802">
        <v>72</v>
      </c>
      <c r="F218" s="802">
        <f t="shared" si="21"/>
        <v>-651.29999999999984</v>
      </c>
      <c r="G218" s="802">
        <f t="shared" si="22"/>
        <v>11451.3</v>
      </c>
      <c r="H218" s="803">
        <f t="shared" si="23"/>
        <v>-5.6875638573786365E-2</v>
      </c>
      <c r="I218" s="804" t="s">
        <v>814</v>
      </c>
      <c r="J218" s="801"/>
      <c r="K218" s="802">
        <v>7</v>
      </c>
      <c r="L218" s="801"/>
    </row>
    <row r="219" spans="1:12" x14ac:dyDescent="0.25">
      <c r="A219" s="809">
        <v>100</v>
      </c>
      <c r="B219" s="805">
        <v>43098</v>
      </c>
      <c r="C219" s="801">
        <v>200</v>
      </c>
      <c r="D219" s="802">
        <v>75.17</v>
      </c>
      <c r="E219" s="802">
        <v>71.64</v>
      </c>
      <c r="F219" s="802">
        <f t="shared" si="21"/>
        <v>-706.00000000000023</v>
      </c>
      <c r="G219" s="802">
        <f t="shared" si="22"/>
        <v>15034</v>
      </c>
      <c r="H219" s="803">
        <f t="shared" si="23"/>
        <v>-4.6960223493414943E-2</v>
      </c>
      <c r="I219" s="808">
        <v>75</v>
      </c>
      <c r="J219" s="801"/>
      <c r="K219" s="802">
        <v>-47</v>
      </c>
      <c r="L219" s="801"/>
    </row>
    <row r="220" spans="1:12" x14ac:dyDescent="0.25">
      <c r="A220" s="809">
        <v>50</v>
      </c>
      <c r="B220" s="805">
        <v>43102</v>
      </c>
      <c r="C220" s="801">
        <v>150</v>
      </c>
      <c r="D220" s="802">
        <v>75.698999999999998</v>
      </c>
      <c r="E220" s="802">
        <v>74.099999999999994</v>
      </c>
      <c r="F220" s="802">
        <f t="shared" si="21"/>
        <v>-239.85000000000056</v>
      </c>
      <c r="G220" s="802">
        <f t="shared" si="22"/>
        <v>11354.85</v>
      </c>
      <c r="H220" s="806">
        <f t="shared" si="23"/>
        <v>-2.1123132405976353E-2</v>
      </c>
      <c r="I220" s="808" t="s">
        <v>819</v>
      </c>
      <c r="J220" s="801"/>
      <c r="K220" s="802">
        <v>419</v>
      </c>
      <c r="L220" s="801"/>
    </row>
    <row r="221" spans="1:12" x14ac:dyDescent="0.25">
      <c r="A221" s="809">
        <v>0</v>
      </c>
      <c r="B221" s="805">
        <v>43105</v>
      </c>
      <c r="C221" s="801">
        <v>100</v>
      </c>
      <c r="D221" s="802">
        <v>76.293999999999997</v>
      </c>
      <c r="E221" s="802">
        <v>74.52</v>
      </c>
      <c r="F221" s="802">
        <f t="shared" si="21"/>
        <v>-177.40000000000009</v>
      </c>
      <c r="G221" s="802">
        <f t="shared" si="22"/>
        <v>7629.4</v>
      </c>
      <c r="H221" s="803">
        <f t="shared" si="23"/>
        <v>-2.3252156132854498E-2</v>
      </c>
      <c r="I221" s="808" t="s">
        <v>845</v>
      </c>
      <c r="J221" s="801"/>
      <c r="K221" s="802">
        <v>481</v>
      </c>
      <c r="L221" s="801"/>
    </row>
    <row r="222" spans="1:12" x14ac:dyDescent="0.25">
      <c r="A222" s="809">
        <v>0</v>
      </c>
      <c r="B222" s="805">
        <v>43109</v>
      </c>
      <c r="C222" s="801">
        <v>100</v>
      </c>
      <c r="D222" s="802">
        <v>76.290000000000006</v>
      </c>
      <c r="E222" s="802">
        <v>78.099999999999994</v>
      </c>
      <c r="F222" s="802">
        <f t="shared" si="21"/>
        <v>180.99999999999881</v>
      </c>
      <c r="G222" s="802">
        <f t="shared" si="22"/>
        <v>7629.0000000000009</v>
      </c>
      <c r="H222" s="803">
        <f t="shared" si="23"/>
        <v>2.3725258880587075E-2</v>
      </c>
      <c r="I222" s="804"/>
      <c r="J222" s="801"/>
      <c r="K222" s="802">
        <v>839</v>
      </c>
      <c r="L222" s="801"/>
    </row>
    <row r="223" spans="1:12" x14ac:dyDescent="0.25">
      <c r="A223" s="809">
        <v>0</v>
      </c>
      <c r="B223" s="805">
        <v>43110</v>
      </c>
      <c r="C223" s="801">
        <v>100</v>
      </c>
      <c r="D223" s="802">
        <v>76.290000000000006</v>
      </c>
      <c r="E223" s="802">
        <v>78.709999999999994</v>
      </c>
      <c r="F223" s="802">
        <f t="shared" si="21"/>
        <v>241.99999999999875</v>
      </c>
      <c r="G223" s="802">
        <f t="shared" si="22"/>
        <v>7629.0000000000009</v>
      </c>
      <c r="H223" s="803">
        <f t="shared" si="23"/>
        <v>3.1721064359680001E-2</v>
      </c>
      <c r="I223" s="808">
        <v>76</v>
      </c>
      <c r="J223" s="808">
        <v>67.739999999999995</v>
      </c>
      <c r="K223" s="802">
        <v>900.23</v>
      </c>
      <c r="L223" s="801"/>
    </row>
    <row r="224" spans="1:12" x14ac:dyDescent="0.25">
      <c r="A224" s="809">
        <v>0</v>
      </c>
      <c r="B224" s="805">
        <v>43117</v>
      </c>
      <c r="C224" s="801">
        <v>100</v>
      </c>
      <c r="D224" s="802">
        <v>76.290000000000006</v>
      </c>
      <c r="E224" s="802">
        <v>81.739999999999995</v>
      </c>
      <c r="F224" s="802">
        <f t="shared" si="21"/>
        <v>544.99999999999886</v>
      </c>
      <c r="G224" s="802">
        <f t="shared" si="22"/>
        <v>7629.0000000000009</v>
      </c>
      <c r="H224" s="803">
        <f t="shared" si="23"/>
        <v>7.143793419845311E-2</v>
      </c>
      <c r="I224" s="808">
        <v>76</v>
      </c>
      <c r="J224" s="808"/>
      <c r="K224" s="802">
        <v>1203</v>
      </c>
      <c r="L224" s="801"/>
    </row>
    <row r="225" spans="1:12" x14ac:dyDescent="0.25">
      <c r="A225" s="809">
        <v>0</v>
      </c>
      <c r="B225" s="805">
        <v>43126</v>
      </c>
      <c r="C225" s="801">
        <v>50</v>
      </c>
      <c r="D225" s="802">
        <v>68.62</v>
      </c>
      <c r="E225" s="802">
        <v>83.97</v>
      </c>
      <c r="F225" s="802">
        <f t="shared" si="21"/>
        <v>767.49999999999977</v>
      </c>
      <c r="G225" s="802">
        <f t="shared" si="22"/>
        <v>3431</v>
      </c>
      <c r="H225" s="803">
        <f t="shared" si="23"/>
        <v>0.22369571553482939</v>
      </c>
      <c r="I225" s="804"/>
      <c r="J225" s="801"/>
      <c r="K225" s="802">
        <v>1426</v>
      </c>
      <c r="L225" s="801"/>
    </row>
    <row r="226" spans="1:12" x14ac:dyDescent="0.25">
      <c r="A226" s="801"/>
      <c r="B226" s="801"/>
      <c r="C226" s="801"/>
      <c r="D226" s="802"/>
      <c r="E226" s="802"/>
      <c r="F226" s="802"/>
      <c r="G226" s="801"/>
      <c r="H226" s="801"/>
      <c r="I226" s="801"/>
      <c r="J226" s="801"/>
      <c r="K226" s="801"/>
      <c r="L226" s="801"/>
    </row>
    <row r="227" spans="1:12" x14ac:dyDescent="0.25">
      <c r="A227" s="801"/>
      <c r="B227" s="801"/>
      <c r="C227" s="801"/>
      <c r="D227" s="802"/>
      <c r="E227" s="802"/>
      <c r="F227" s="802"/>
      <c r="G227" s="801"/>
      <c r="H227" s="801"/>
      <c r="I227" s="801"/>
      <c r="J227" s="801"/>
      <c r="K227" s="801"/>
      <c r="L227" s="801"/>
    </row>
    <row r="228" spans="1:12" x14ac:dyDescent="0.25">
      <c r="A228" s="801"/>
      <c r="B228" s="801"/>
      <c r="C228" s="801"/>
      <c r="D228" s="802"/>
      <c r="E228" s="802"/>
      <c r="F228" s="802"/>
      <c r="G228" s="801"/>
      <c r="H228" s="801"/>
      <c r="I228" s="801"/>
      <c r="J228" s="801"/>
      <c r="K228" s="801"/>
      <c r="L228" s="801"/>
    </row>
    <row r="229" spans="1:12" x14ac:dyDescent="0.25">
      <c r="A229" s="801"/>
      <c r="B229" s="801"/>
      <c r="C229" s="801"/>
      <c r="D229" s="802"/>
      <c r="E229" s="802"/>
      <c r="F229" s="802"/>
      <c r="G229" s="801"/>
      <c r="H229" s="801"/>
      <c r="I229" s="801"/>
      <c r="J229" s="801"/>
      <c r="K229" s="801"/>
      <c r="L229" s="801"/>
    </row>
    <row r="230" spans="1:12" x14ac:dyDescent="0.25">
      <c r="A230" s="801"/>
      <c r="B230" s="801"/>
      <c r="C230" s="801"/>
      <c r="D230" s="802"/>
      <c r="E230" s="802"/>
      <c r="F230" s="802"/>
      <c r="G230" s="801"/>
      <c r="H230" s="801"/>
      <c r="I230" s="801"/>
      <c r="J230" s="801"/>
      <c r="K230" s="801"/>
      <c r="L230" s="801"/>
    </row>
    <row r="231" spans="1:12" x14ac:dyDescent="0.25">
      <c r="A231" s="801"/>
      <c r="B231" s="801"/>
      <c r="C231" s="801"/>
      <c r="D231" s="802"/>
      <c r="E231" s="802"/>
      <c r="F231" s="802"/>
      <c r="G231" s="801"/>
      <c r="H231" s="801"/>
      <c r="I231" s="801"/>
      <c r="J231" s="801"/>
      <c r="K231" s="801"/>
      <c r="L231" s="801"/>
    </row>
    <row r="232" spans="1:12" x14ac:dyDescent="0.25">
      <c r="A232" s="801"/>
      <c r="B232" s="801"/>
      <c r="C232" s="801"/>
      <c r="D232" s="802"/>
      <c r="E232" s="802"/>
      <c r="F232" s="802"/>
      <c r="G232" s="801"/>
      <c r="H232" s="801"/>
      <c r="I232" s="801"/>
      <c r="J232" s="801"/>
      <c r="K232" s="801"/>
      <c r="L232" s="801"/>
    </row>
  </sheetData>
  <mergeCells count="1">
    <mergeCell ref="O42:P42"/>
  </mergeCells>
  <conditionalFormatting sqref="H45:I45 H48:I52 I32 H34 H35:I35 H37:I37 H36 H38:H39 F34:F42 H40:I41 H42 H44 H46:H47 F44:F52 AA24:AG24">
    <cfRule type="expression" dxfId="147" priority="96">
      <formula>F24&gt;0</formula>
    </cfRule>
    <cfRule type="expression" dxfId="146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5" priority="79">
      <formula>F30&gt;0</formula>
    </cfRule>
    <cfRule type="expression" dxfId="144" priority="80">
      <formula>F30&lt;0</formula>
    </cfRule>
  </conditionalFormatting>
  <conditionalFormatting sqref="H43 H30:H33">
    <cfRule type="expression" dxfId="143" priority="77">
      <formula>H30&gt;0</formula>
    </cfRule>
    <cfRule type="expression" dxfId="142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41" priority="59">
      <formula>F115&gt;0</formula>
    </cfRule>
    <cfRule type="expression" dxfId="140" priority="60">
      <formula>F115&lt;0</formula>
    </cfRule>
  </conditionalFormatting>
  <conditionalFormatting sqref="F112:F114">
    <cfRule type="expression" dxfId="139" priority="57">
      <formula>F112&gt;0</formula>
    </cfRule>
    <cfRule type="expression" dxfId="138" priority="58">
      <formula>F112&lt;0</formula>
    </cfRule>
  </conditionalFormatting>
  <conditionalFormatting sqref="H112:I112">
    <cfRule type="expression" dxfId="137" priority="55">
      <formula>H112&gt;0</formula>
    </cfRule>
    <cfRule type="expression" dxfId="136" priority="56">
      <formula>H112&lt;0</formula>
    </cfRule>
  </conditionalFormatting>
  <conditionalFormatting sqref="H113:I113">
    <cfRule type="expression" dxfId="135" priority="53">
      <formula>H113&gt;0</formula>
    </cfRule>
    <cfRule type="expression" dxfId="134" priority="54">
      <formula>H113&lt;0</formula>
    </cfRule>
  </conditionalFormatting>
  <conditionalFormatting sqref="H114:I114">
    <cfRule type="expression" dxfId="133" priority="51">
      <formula>H114&gt;0</formula>
    </cfRule>
    <cfRule type="expression" dxfId="132" priority="52">
      <formula>H114&lt;0</formula>
    </cfRule>
  </conditionalFormatting>
  <conditionalFormatting sqref="F105:F111">
    <cfRule type="expression" dxfId="131" priority="49">
      <formula>F105&gt;0</formula>
    </cfRule>
    <cfRule type="expression" dxfId="130" priority="50">
      <formula>F105&lt;0</formula>
    </cfRule>
  </conditionalFormatting>
  <conditionalFormatting sqref="H105:I111">
    <cfRule type="expression" dxfId="129" priority="47">
      <formula>H105&gt;0</formula>
    </cfRule>
    <cfRule type="expression" dxfId="128" priority="48">
      <formula>H105&lt;0</formula>
    </cfRule>
  </conditionalFormatting>
  <conditionalFormatting sqref="I117 F117:F119">
    <cfRule type="expression" dxfId="127" priority="45">
      <formula>F117&gt;0</formula>
    </cfRule>
    <cfRule type="expression" dxfId="126" priority="46">
      <formula>F117&lt;0</formula>
    </cfRule>
  </conditionalFormatting>
  <conditionalFormatting sqref="F189:F196 H189:H196">
    <cfRule type="expression" dxfId="125" priority="43">
      <formula>F189&gt;0</formula>
    </cfRule>
    <cfRule type="expression" dxfId="124" priority="44">
      <formula>F189&lt;0</formula>
    </cfRule>
  </conditionalFormatting>
  <conditionalFormatting sqref="H202 F202">
    <cfRule type="expression" dxfId="123" priority="41">
      <formula>F202&gt;0</formula>
    </cfRule>
    <cfRule type="expression" dxfId="122" priority="42">
      <formula>F202&lt;0</formula>
    </cfRule>
  </conditionalFormatting>
  <conditionalFormatting sqref="I204">
    <cfRule type="expression" dxfId="121" priority="39">
      <formula>I204&gt;0</formula>
    </cfRule>
    <cfRule type="expression" dxfId="120" priority="40">
      <formula>I204&lt;0</formula>
    </cfRule>
  </conditionalFormatting>
  <conditionalFormatting sqref="H204 F204">
    <cfRule type="expression" dxfId="119" priority="37">
      <formula>F204&gt;0</formula>
    </cfRule>
    <cfRule type="expression" dxfId="118" priority="38">
      <formula>F204&lt;0</formula>
    </cfRule>
  </conditionalFormatting>
  <conditionalFormatting sqref="M54">
    <cfRule type="expression" dxfId="117" priority="35">
      <formula>M54&gt;0</formula>
    </cfRule>
    <cfRule type="expression" dxfId="116" priority="36">
      <formula>M54&lt;0</formula>
    </cfRule>
  </conditionalFormatting>
  <conditionalFormatting sqref="K39:K49">
    <cfRule type="expression" dxfId="115" priority="33">
      <formula>K39&gt;0</formula>
    </cfRule>
    <cfRule type="expression" dxfId="114" priority="34">
      <formula>K39&lt;0</formula>
    </cfRule>
  </conditionalFormatting>
  <conditionalFormatting sqref="Q10">
    <cfRule type="expression" dxfId="113" priority="31">
      <formula>Q10&gt;0</formula>
    </cfRule>
    <cfRule type="expression" dxfId="112" priority="32">
      <formula>Q10&lt;0</formula>
    </cfRule>
  </conditionalFormatting>
  <conditionalFormatting sqref="Z10">
    <cfRule type="expression" dxfId="111" priority="29">
      <formula>Z10&gt;0</formula>
    </cfRule>
    <cfRule type="expression" dxfId="110" priority="30">
      <formula>Z10&lt;0</formula>
    </cfRule>
  </conditionalFormatting>
  <conditionalFormatting sqref="AA10:AE10">
    <cfRule type="expression" dxfId="109" priority="27">
      <formula>AA10&gt;0</formula>
    </cfRule>
    <cfRule type="expression" dxfId="108" priority="28">
      <formula>AA10&lt;0</formula>
    </cfRule>
  </conditionalFormatting>
  <conditionalFormatting sqref="Z24">
    <cfRule type="expression" dxfId="107" priority="25">
      <formula>Z24&gt;0</formula>
    </cfRule>
    <cfRule type="expression" dxfId="106" priority="26">
      <formula>Z24&lt;0</formula>
    </cfRule>
  </conditionalFormatting>
  <conditionalFormatting sqref="AF10:AG10">
    <cfRule type="expression" dxfId="105" priority="17">
      <formula>AF10&gt;0</formula>
    </cfRule>
    <cfRule type="expression" dxfId="104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03" priority="15">
      <formula>F208&gt;0</formula>
    </cfRule>
    <cfRule type="expression" dxfId="102" priority="16">
      <formula>F208&lt;0</formula>
    </cfRule>
  </conditionalFormatting>
  <conditionalFormatting sqref="F220 F207:F210">
    <cfRule type="expression" dxfId="101" priority="13">
      <formula>F207&gt;0</formula>
    </cfRule>
    <cfRule type="expression" dxfId="100" priority="14">
      <formula>F207&lt;0</formula>
    </cfRule>
  </conditionalFormatting>
  <conditionalFormatting sqref="H207:I207 H220 H208:H210">
    <cfRule type="expression" dxfId="99" priority="11">
      <formula>H207&gt;0</formula>
    </cfRule>
    <cfRule type="expression" dxfId="98" priority="12">
      <formula>H207&lt;0</formula>
    </cfRule>
  </conditionalFormatting>
  <conditionalFormatting sqref="K210:K225">
    <cfRule type="expression" dxfId="97" priority="9">
      <formula>K210&gt;0</formula>
    </cfRule>
    <cfRule type="expression" dxfId="96" priority="10">
      <formula>K210&lt;0</formula>
    </cfRule>
  </conditionalFormatting>
  <conditionalFormatting sqref="K31">
    <cfRule type="expression" dxfId="95" priority="7">
      <formula>K31&gt;0</formula>
    </cfRule>
    <cfRule type="expression" dxfId="94" priority="8">
      <formula>K31&lt;0</formula>
    </cfRule>
  </conditionalFormatting>
  <conditionalFormatting sqref="K32:K38">
    <cfRule type="expression" dxfId="93" priority="5">
      <formula>K32&gt;0</formula>
    </cfRule>
    <cfRule type="expression" dxfId="92" priority="6">
      <formula>K32&lt;0</formula>
    </cfRule>
  </conditionalFormatting>
  <conditionalFormatting sqref="Q7">
    <cfRule type="expression" dxfId="91" priority="3">
      <formula>Q7&gt;0</formula>
    </cfRule>
    <cfRule type="expression" dxfId="90" priority="4">
      <formula>Q7&lt;0</formula>
    </cfRule>
  </conditionalFormatting>
  <conditionalFormatting sqref="Q8">
    <cfRule type="expression" dxfId="89" priority="1">
      <formula>Q8&gt;0</formula>
    </cfRule>
    <cfRule type="expression" dxfId="88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78.900000000000006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78.900000000000006</v>
      </c>
      <c r="R4" s="475">
        <v>-1.9E-3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207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206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206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431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57" t="s">
        <v>78</v>
      </c>
      <c r="P42" s="857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86.79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86.001000000000019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85.212000000000018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84.423000000000016</v>
      </c>
      <c r="Q46" s="81"/>
      <c r="T46" s="91" t="s">
        <v>100</v>
      </c>
      <c r="U46" s="86" t="s">
        <v>646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83.634000000000015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82.845000000000013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82.056000000000012</v>
      </c>
      <c r="Q49" s="81"/>
      <c r="T49" s="91" t="s">
        <v>121</v>
      </c>
      <c r="U49" s="86" t="s">
        <v>353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81.26700000000001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80.478000000000009</v>
      </c>
      <c r="Q51" s="81"/>
      <c r="T51" s="91" t="s">
        <v>104</v>
      </c>
      <c r="U51" s="86" t="s">
        <v>647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79.689000000000007</v>
      </c>
      <c r="Q52" s="81"/>
      <c r="T52" s="91" t="s">
        <v>105</v>
      </c>
      <c r="U52" s="86" t="s">
        <v>648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78.900000000000006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78.111000000000004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77.322000000000003</v>
      </c>
      <c r="Q55" s="81"/>
      <c r="T55" s="91" t="s">
        <v>107</v>
      </c>
      <c r="U55" s="86" t="s">
        <v>649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76.533000000000001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75.744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74.954999999999998</v>
      </c>
      <c r="Q58" s="81"/>
      <c r="T58" s="91" t="s">
        <v>108</v>
      </c>
      <c r="U58" s="86" t="s">
        <v>522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74.165999999999997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73.37700000000001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72.588000000000008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71.799000000000007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71.010000000000005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87" priority="5">
      <formula>F21&gt;0</formula>
    </cfRule>
    <cfRule type="expression" dxfId="86" priority="6">
      <formula>F21&lt;0</formula>
    </cfRule>
  </conditionalFormatting>
  <conditionalFormatting sqref="Q8">
    <cfRule type="expression" dxfId="85" priority="1">
      <formula>Q8&gt;0</formula>
    </cfRule>
    <cfRule type="expression" dxfId="84" priority="2">
      <formula>Q8&lt;0</formula>
    </cfRule>
  </conditionalFormatting>
  <conditionalFormatting sqref="Q7">
    <cfRule type="expression" dxfId="83" priority="3">
      <formula>Q7&gt;0</formula>
    </cfRule>
    <cfRule type="expression" dxfId="8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85"/>
  <sheetViews>
    <sheetView workbookViewId="0">
      <pane ySplit="1" topLeftCell="A5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15.140625" style="81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C21-H21</f>
        <v>200</v>
      </c>
      <c r="U2" s="118"/>
      <c r="V2" t="s">
        <v>1188</v>
      </c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(F21-K21-M21)/Q2)</f>
        <v>50.134800000000006</v>
      </c>
      <c r="V3" t="s">
        <v>1189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0" si="1">H4*I4-J4</f>
        <v>5204.88</v>
      </c>
      <c r="L4" s="72">
        <v>42856</v>
      </c>
      <c r="M4" s="43">
        <v>36</v>
      </c>
      <c r="O4" s="11" t="s">
        <v>66</v>
      </c>
      <c r="Q4" s="54">
        <v>44.98</v>
      </c>
      <c r="R4" s="475">
        <v>1.83E-2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8996</v>
      </c>
      <c r="U5" s="83">
        <v>43180</v>
      </c>
      <c r="V5" t="s">
        <v>980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10026.960000000001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-981.00999999999931</v>
      </c>
      <c r="R7">
        <v>150</v>
      </c>
    </row>
    <row r="8" spans="1:22" x14ac:dyDescent="0.25">
      <c r="B8" s="434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K21+M21-F21+Q2*Q4</f>
        <v>-1030.9599999999991</v>
      </c>
      <c r="U8" s="118">
        <v>43292</v>
      </c>
      <c r="V8" t="s">
        <v>1187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4"/>
      <c r="O9" s="11" t="s">
        <v>207</v>
      </c>
      <c r="Q9" s="222">
        <f>IF(Q2=0, 0, Q8/Q6)</f>
        <v>-0.10281880051381466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206</v>
      </c>
      <c r="P10" s="33"/>
      <c r="Q10" s="2">
        <f>M75</f>
        <v>49.949999999999818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4.3574922187638955E-2</v>
      </c>
      <c r="R11">
        <v>0.49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 t="shared" ref="F12:F17" si="2">C12*D12+E12</f>
        <v>1255</v>
      </c>
      <c r="H12" s="70"/>
      <c r="O12" s="11" t="s">
        <v>938</v>
      </c>
      <c r="Q12" s="1"/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H13" s="70"/>
      <c r="O13" s="11" t="s">
        <v>965</v>
      </c>
      <c r="Q13">
        <f>Q4/3.08</f>
        <v>14.603896103896103</v>
      </c>
    </row>
    <row r="14" spans="1:2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 t="shared" si="2"/>
        <v>3012</v>
      </c>
      <c r="H14" s="70"/>
    </row>
    <row r="15" spans="1:22" x14ac:dyDescent="0.25">
      <c r="B15" s="72">
        <v>43133</v>
      </c>
      <c r="C15" s="7">
        <v>40</v>
      </c>
      <c r="D15" s="43">
        <v>57</v>
      </c>
      <c r="E15" s="43">
        <v>0</v>
      </c>
      <c r="F15" s="43">
        <f t="shared" si="2"/>
        <v>2280</v>
      </c>
      <c r="H15" s="70"/>
    </row>
    <row r="16" spans="1:22" x14ac:dyDescent="0.25">
      <c r="B16" s="72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474">
        <v>43299</v>
      </c>
      <c r="C17" s="4">
        <v>50</v>
      </c>
      <c r="D17" s="3">
        <v>43.48</v>
      </c>
      <c r="E17" s="3">
        <v>0</v>
      </c>
      <c r="F17" s="3">
        <f t="shared" si="2"/>
        <v>2174</v>
      </c>
      <c r="H17" s="70"/>
      <c r="O17" s="857" t="s">
        <v>78</v>
      </c>
      <c r="P17" s="857"/>
    </row>
    <row r="18" spans="1:16" ht="15.75" thickTop="1" x14ac:dyDescent="0.25">
      <c r="H18" s="70"/>
      <c r="O18" s="81">
        <v>1.1000000000000001</v>
      </c>
      <c r="P18" s="81">
        <f>O18*$Q$4</f>
        <v>49.478000000000002</v>
      </c>
    </row>
    <row r="19" spans="1:16" x14ac:dyDescent="0.25">
      <c r="H19" s="70"/>
      <c r="O19" s="81">
        <v>1.0900000000000001</v>
      </c>
      <c r="P19" s="81">
        <f t="shared" ref="P19:P38" si="3">O19*$Q$4</f>
        <v>49.028199999999998</v>
      </c>
    </row>
    <row r="20" spans="1:16" x14ac:dyDescent="0.25">
      <c r="H20" s="70"/>
      <c r="O20" s="81">
        <v>1.08</v>
      </c>
      <c r="P20" s="81">
        <f t="shared" si="3"/>
        <v>48.578400000000002</v>
      </c>
    </row>
    <row r="21" spans="1:16" x14ac:dyDescent="0.25">
      <c r="A21" s="21" t="s">
        <v>81</v>
      </c>
      <c r="B21" s="12"/>
      <c r="C21" s="12">
        <f>SUM(C2:C20)</f>
        <v>690</v>
      </c>
      <c r="D21" s="13"/>
      <c r="E21" s="13"/>
      <c r="F21" s="13">
        <f>SUM(F2:F20)</f>
        <v>37384.79</v>
      </c>
      <c r="G21" s="12"/>
      <c r="H21" s="12">
        <f>SUM(H2:H20)</f>
        <v>490</v>
      </c>
      <c r="I21" s="12"/>
      <c r="J21" s="12"/>
      <c r="K21" s="13">
        <f>SUM(K2:K20)</f>
        <v>26986.93</v>
      </c>
      <c r="L21" s="12"/>
      <c r="M21" s="13">
        <f>SUM(M2:M20)</f>
        <v>370.9</v>
      </c>
      <c r="O21" s="81">
        <v>1.07</v>
      </c>
      <c r="P21" s="81">
        <f t="shared" si="3"/>
        <v>48.128599999999999</v>
      </c>
    </row>
    <row r="22" spans="1:16" ht="15.75" thickBot="1" x14ac:dyDescent="0.3">
      <c r="A22" s="341" t="s">
        <v>193</v>
      </c>
      <c r="B22" s="479"/>
      <c r="C22" s="343">
        <f>SumByColor($A$22, C2:C20 )</f>
        <v>490</v>
      </c>
      <c r="D22" s="343"/>
      <c r="E22" s="343"/>
      <c r="F22" s="344">
        <f>SumByColor($A$22, F2:F20 )</f>
        <v>26814</v>
      </c>
      <c r="G22" s="343"/>
      <c r="H22" s="343">
        <f>SumByColor($A$22, H2:H20 )</f>
        <v>490</v>
      </c>
      <c r="I22" s="343"/>
      <c r="J22" s="343"/>
      <c r="K22" s="344">
        <f>SumByColor($A$22, K2:K20 )</f>
        <v>26988</v>
      </c>
      <c r="L22" s="343"/>
      <c r="M22" s="344">
        <f>SumByColor($A$22, M2:M20 )</f>
        <v>370</v>
      </c>
      <c r="O22" s="81">
        <v>1.06</v>
      </c>
      <c r="P22" s="81">
        <f t="shared" si="3"/>
        <v>47.678800000000003</v>
      </c>
    </row>
    <row r="23" spans="1:16" x14ac:dyDescent="0.25">
      <c r="O23" s="81">
        <v>1.05</v>
      </c>
      <c r="P23" s="81">
        <f t="shared" si="3"/>
        <v>47.228999999999999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494</v>
      </c>
      <c r="L24" s="220" t="s">
        <v>965</v>
      </c>
      <c r="O24" s="81">
        <v>1.04</v>
      </c>
      <c r="P24" s="81">
        <f t="shared" si="3"/>
        <v>46.779199999999996</v>
      </c>
    </row>
    <row r="25" spans="1:16" x14ac:dyDescent="0.25">
      <c r="B25" s="184">
        <v>42622</v>
      </c>
      <c r="C25" s="10">
        <v>25</v>
      </c>
      <c r="D25" s="39">
        <v>66.959999999999994</v>
      </c>
      <c r="E25" s="39">
        <v>65.05</v>
      </c>
      <c r="F25" s="39">
        <f t="shared" ref="F25:F32" si="4">C25*(E25-D25)</f>
        <v>-47.749999999999915</v>
      </c>
      <c r="G25" s="39">
        <f t="shared" ref="G25:G32" si="5">D25*C25</f>
        <v>1673.9999999999998</v>
      </c>
      <c r="H25" s="222">
        <f t="shared" ref="H25:H32" si="6">(E25-D25)/D25</f>
        <v>-2.8524492234169606E-2</v>
      </c>
      <c r="I25" s="39"/>
      <c r="J25" s="39"/>
      <c r="K25" s="39"/>
      <c r="L25" s="39"/>
      <c r="O25" s="81">
        <v>1.03</v>
      </c>
      <c r="P25" s="81">
        <f t="shared" si="3"/>
        <v>46.3294</v>
      </c>
    </row>
    <row r="26" spans="1:16" x14ac:dyDescent="0.25">
      <c r="B26" s="184">
        <v>42634</v>
      </c>
      <c r="C26" s="10">
        <v>25</v>
      </c>
      <c r="D26" s="39">
        <v>66.959999999999994</v>
      </c>
      <c r="E26" s="39">
        <v>65.260000000000005</v>
      </c>
      <c r="F26" s="39">
        <f t="shared" si="4"/>
        <v>-42.499999999999716</v>
      </c>
      <c r="G26" s="39">
        <f t="shared" si="5"/>
        <v>1673.9999999999998</v>
      </c>
      <c r="H26" s="222">
        <f t="shared" si="6"/>
        <v>-2.5388291517323608E-2</v>
      </c>
      <c r="I26" s="39"/>
      <c r="J26" s="39"/>
      <c r="K26" s="39"/>
      <c r="L26" s="39"/>
      <c r="O26" s="81">
        <v>1.02</v>
      </c>
      <c r="P26" s="81">
        <f t="shared" si="3"/>
        <v>45.879599999999996</v>
      </c>
    </row>
    <row r="27" spans="1:16" x14ac:dyDescent="0.25">
      <c r="B27" s="184">
        <v>42638</v>
      </c>
      <c r="C27" s="10">
        <v>25</v>
      </c>
      <c r="D27" s="39">
        <v>66.959999999999994</v>
      </c>
      <c r="E27" s="39">
        <v>64.650000000000006</v>
      </c>
      <c r="F27" s="39">
        <f t="shared" si="4"/>
        <v>-57.749999999999702</v>
      </c>
      <c r="G27" s="39">
        <f t="shared" si="5"/>
        <v>1673.9999999999998</v>
      </c>
      <c r="H27" s="222">
        <f t="shared" si="6"/>
        <v>-3.4498207885304485E-2</v>
      </c>
      <c r="I27" s="39"/>
      <c r="J27" s="39"/>
      <c r="K27" s="39"/>
      <c r="L27" s="39"/>
      <c r="O27" s="81">
        <v>1.01</v>
      </c>
      <c r="P27" s="81">
        <f t="shared" si="3"/>
        <v>45.4298</v>
      </c>
    </row>
    <row r="28" spans="1:16" x14ac:dyDescent="0.25">
      <c r="B28" s="184">
        <v>42639</v>
      </c>
      <c r="C28" s="10">
        <v>25</v>
      </c>
      <c r="D28" s="39">
        <v>66.959999999999994</v>
      </c>
      <c r="E28" s="39">
        <v>63.9</v>
      </c>
      <c r="F28" s="39">
        <f t="shared" si="4"/>
        <v>-76.499999999999886</v>
      </c>
      <c r="G28" s="39">
        <f t="shared" si="5"/>
        <v>1673.9999999999998</v>
      </c>
      <c r="H28" s="222">
        <f t="shared" si="6"/>
        <v>-4.5698924731182727E-2</v>
      </c>
      <c r="I28" s="39"/>
      <c r="J28" s="39"/>
      <c r="K28" s="39"/>
      <c r="L28" s="39"/>
      <c r="O28" s="81">
        <v>1</v>
      </c>
      <c r="P28" s="81">
        <f t="shared" si="3"/>
        <v>44.98</v>
      </c>
    </row>
    <row r="29" spans="1:16" x14ac:dyDescent="0.25">
      <c r="B29" s="184">
        <v>42647</v>
      </c>
      <c r="C29" s="10">
        <v>25</v>
      </c>
      <c r="D29" s="39">
        <v>66.959999999999994</v>
      </c>
      <c r="E29" s="39">
        <v>63.05</v>
      </c>
      <c r="F29" s="39">
        <f t="shared" si="4"/>
        <v>-97.749999999999915</v>
      </c>
      <c r="G29" s="39">
        <f t="shared" si="5"/>
        <v>1673.9999999999998</v>
      </c>
      <c r="H29" s="222">
        <f t="shared" si="6"/>
        <v>-5.8393070489844635E-2</v>
      </c>
      <c r="I29" s="39"/>
      <c r="J29" s="39"/>
      <c r="K29" s="39"/>
      <c r="L29" s="39"/>
      <c r="O29" s="81">
        <v>0.99</v>
      </c>
      <c r="P29" s="81">
        <f t="shared" si="3"/>
        <v>44.530199999999994</v>
      </c>
    </row>
    <row r="30" spans="1:16" x14ac:dyDescent="0.25">
      <c r="B30" s="184">
        <v>42648</v>
      </c>
      <c r="C30" s="10">
        <v>25</v>
      </c>
      <c r="D30" s="39">
        <v>66.959999999999994</v>
      </c>
      <c r="E30" s="39">
        <v>63.05</v>
      </c>
      <c r="F30" s="39">
        <f t="shared" si="4"/>
        <v>-97.749999999999915</v>
      </c>
      <c r="G30" s="39">
        <f t="shared" si="5"/>
        <v>1673.9999999999998</v>
      </c>
      <c r="H30" s="222">
        <f t="shared" si="6"/>
        <v>-5.8393070489844635E-2</v>
      </c>
      <c r="I30" s="39"/>
      <c r="J30" s="39"/>
      <c r="K30" s="39"/>
      <c r="L30" s="39"/>
      <c r="O30" s="81">
        <v>0.98</v>
      </c>
      <c r="P30" s="81">
        <f t="shared" si="3"/>
        <v>44.080399999999997</v>
      </c>
    </row>
    <row r="31" spans="1:16" x14ac:dyDescent="0.25">
      <c r="B31" s="184">
        <v>42651</v>
      </c>
      <c r="C31" s="10">
        <v>25</v>
      </c>
      <c r="D31" s="39">
        <v>66.959999999999994</v>
      </c>
      <c r="E31" s="39">
        <v>62.13</v>
      </c>
      <c r="F31" s="39">
        <f t="shared" si="4"/>
        <v>-120.74999999999977</v>
      </c>
      <c r="G31" s="39">
        <f t="shared" si="5"/>
        <v>1673.9999999999998</v>
      </c>
      <c r="H31" s="222">
        <f t="shared" si="6"/>
        <v>-7.2132616487455073E-2</v>
      </c>
      <c r="I31" s="39"/>
      <c r="J31" s="39"/>
      <c r="K31" s="39"/>
      <c r="L31" s="39"/>
      <c r="O31" s="81">
        <v>0.97</v>
      </c>
      <c r="P31" s="81">
        <f t="shared" si="3"/>
        <v>43.630599999999994</v>
      </c>
    </row>
    <row r="32" spans="1:16" x14ac:dyDescent="0.25">
      <c r="B32" s="184">
        <v>42663</v>
      </c>
      <c r="C32" s="10">
        <v>50</v>
      </c>
      <c r="D32" s="39">
        <v>63.97</v>
      </c>
      <c r="E32" s="39">
        <v>61</v>
      </c>
      <c r="F32" s="39">
        <f t="shared" si="4"/>
        <v>-148.49999999999994</v>
      </c>
      <c r="G32" s="39">
        <f t="shared" si="5"/>
        <v>3198.5</v>
      </c>
      <c r="H32" s="222">
        <f t="shared" si="6"/>
        <v>-4.6428013131155209E-2</v>
      </c>
      <c r="I32" s="39"/>
      <c r="J32" s="39"/>
      <c r="K32" s="39"/>
      <c r="L32" s="39"/>
      <c r="O32" s="81">
        <v>0.96</v>
      </c>
      <c r="P32" s="81">
        <f t="shared" si="3"/>
        <v>43.180799999999998</v>
      </c>
    </row>
    <row r="33" spans="1:17" x14ac:dyDescent="0.25">
      <c r="B33" s="184">
        <v>42701</v>
      </c>
      <c r="C33" s="10">
        <v>50</v>
      </c>
      <c r="D33" s="39">
        <v>63.73</v>
      </c>
      <c r="E33" s="39">
        <v>62.3</v>
      </c>
      <c r="F33" s="39">
        <f t="shared" ref="F33:F38" si="7">C33*(E33-D33)</f>
        <v>-71.499999999999986</v>
      </c>
      <c r="G33" s="39">
        <f t="shared" ref="G33:G38" si="8">D33*C33</f>
        <v>3186.5</v>
      </c>
      <c r="H33" s="222">
        <f t="shared" ref="H33:H38" si="9">(E33-D33)/D33</f>
        <v>-2.2438412050839476E-2</v>
      </c>
      <c r="I33" s="39"/>
      <c r="J33" s="39"/>
      <c r="K33" s="39"/>
      <c r="L33" s="39"/>
      <c r="O33" s="81">
        <v>0.95</v>
      </c>
      <c r="P33" s="81">
        <f t="shared" si="3"/>
        <v>42.730999999999995</v>
      </c>
    </row>
    <row r="34" spans="1:17" x14ac:dyDescent="0.25">
      <c r="B34" s="184">
        <v>42708</v>
      </c>
      <c r="C34" s="10">
        <v>50</v>
      </c>
      <c r="D34" s="39">
        <v>63.73</v>
      </c>
      <c r="E34" s="39">
        <v>60.94</v>
      </c>
      <c r="F34" s="39">
        <f t="shared" si="7"/>
        <v>-139.49999999999994</v>
      </c>
      <c r="G34" s="39">
        <f t="shared" si="8"/>
        <v>3186.5</v>
      </c>
      <c r="H34" s="222">
        <f t="shared" si="9"/>
        <v>-4.3778440294994496E-2</v>
      </c>
      <c r="I34" s="39"/>
      <c r="J34" s="39"/>
      <c r="K34" s="39"/>
      <c r="L34" s="39"/>
      <c r="O34" s="81">
        <v>0.94</v>
      </c>
      <c r="P34" s="81">
        <f t="shared" si="3"/>
        <v>42.281199999999991</v>
      </c>
    </row>
    <row r="35" spans="1:17" x14ac:dyDescent="0.25">
      <c r="B35" s="184">
        <v>42731</v>
      </c>
      <c r="C35" s="10">
        <v>50</v>
      </c>
      <c r="D35" s="39">
        <v>63.73</v>
      </c>
      <c r="E35" s="39">
        <v>62.2</v>
      </c>
      <c r="F35" s="39">
        <f t="shared" si="7"/>
        <v>-76.499999999999702</v>
      </c>
      <c r="G35" s="39">
        <f t="shared" si="8"/>
        <v>3186.5</v>
      </c>
      <c r="H35" s="222">
        <f t="shared" si="9"/>
        <v>-2.4007531774674316E-2</v>
      </c>
      <c r="I35" s="39"/>
      <c r="J35" s="39"/>
      <c r="K35" s="39"/>
      <c r="L35" s="39"/>
      <c r="O35" s="81">
        <v>0.93</v>
      </c>
      <c r="P35" s="81">
        <f t="shared" si="3"/>
        <v>41.831400000000002</v>
      </c>
    </row>
    <row r="36" spans="1:17" x14ac:dyDescent="0.25">
      <c r="B36" s="184">
        <v>42760</v>
      </c>
      <c r="C36" s="10">
        <v>50</v>
      </c>
      <c r="D36" s="39">
        <v>63.73</v>
      </c>
      <c r="E36" s="39">
        <v>63.01</v>
      </c>
      <c r="F36" s="39">
        <f t="shared" si="7"/>
        <v>-35.999999999999943</v>
      </c>
      <c r="G36" s="39">
        <f t="shared" si="8"/>
        <v>3186.5</v>
      </c>
      <c r="H36" s="222">
        <f t="shared" si="9"/>
        <v>-1.1297662011611469E-2</v>
      </c>
      <c r="I36" s="39"/>
      <c r="J36" s="39"/>
      <c r="K36" s="39"/>
      <c r="L36" s="39"/>
      <c r="O36" s="81">
        <v>0.92</v>
      </c>
      <c r="P36" s="81">
        <f t="shared" si="3"/>
        <v>41.381599999999999</v>
      </c>
    </row>
    <row r="37" spans="1:17" x14ac:dyDescent="0.25">
      <c r="A37" t="s">
        <v>342</v>
      </c>
      <c r="B37" s="184">
        <v>42768</v>
      </c>
      <c r="C37" s="10">
        <v>50</v>
      </c>
      <c r="D37" s="39">
        <v>63.25</v>
      </c>
      <c r="E37" s="39">
        <v>61.72</v>
      </c>
      <c r="F37" s="39">
        <f t="shared" si="7"/>
        <v>-76.500000000000057</v>
      </c>
      <c r="G37" s="39">
        <f t="shared" si="8"/>
        <v>3162.5</v>
      </c>
      <c r="H37" s="222">
        <f t="shared" si="9"/>
        <v>-2.4189723320158122E-2</v>
      </c>
      <c r="I37" s="39"/>
      <c r="J37" s="39"/>
      <c r="K37" s="39"/>
      <c r="L37" s="39"/>
      <c r="O37" s="81">
        <v>0.91</v>
      </c>
      <c r="P37" s="81">
        <f t="shared" si="3"/>
        <v>40.931799999999996</v>
      </c>
    </row>
    <row r="38" spans="1:17" x14ac:dyDescent="0.25">
      <c r="A38" t="s">
        <v>429</v>
      </c>
      <c r="B38" s="184">
        <v>42783</v>
      </c>
      <c r="C38" s="10">
        <v>75</v>
      </c>
      <c r="D38" s="39">
        <v>61.9133</v>
      </c>
      <c r="E38" s="39">
        <v>61.54</v>
      </c>
      <c r="F38" s="39">
        <f t="shared" si="7"/>
        <v>-27.997500000000031</v>
      </c>
      <c r="G38" s="39">
        <f t="shared" si="8"/>
        <v>4643.4975000000004</v>
      </c>
      <c r="H38" s="222">
        <f t="shared" si="9"/>
        <v>-6.0293991759444322E-3</v>
      </c>
      <c r="I38" s="39"/>
      <c r="J38" s="39"/>
      <c r="K38" s="39"/>
      <c r="L38" s="39"/>
      <c r="O38" s="81">
        <v>0.9</v>
      </c>
      <c r="P38" s="81">
        <f t="shared" si="3"/>
        <v>40.481999999999999</v>
      </c>
    </row>
    <row r="39" spans="1:17" x14ac:dyDescent="0.25">
      <c r="A39">
        <v>50</v>
      </c>
      <c r="B39" s="184">
        <v>42809</v>
      </c>
      <c r="C39" s="10">
        <v>75</v>
      </c>
      <c r="D39" s="39">
        <v>61.9133</v>
      </c>
      <c r="E39" s="39">
        <v>61.16</v>
      </c>
      <c r="F39" s="39">
        <f t="shared" ref="F39:F45" si="10">C39*(E39-D39)</f>
        <v>-56.497500000000223</v>
      </c>
      <c r="G39" s="39">
        <f t="shared" ref="G39:G45" si="11">D39*C39</f>
        <v>4643.4975000000004</v>
      </c>
      <c r="H39" s="222">
        <f t="shared" ref="H39:H45" si="12">(E39-D39)/D39</f>
        <v>-1.2167014195657523E-2</v>
      </c>
      <c r="I39" s="39"/>
      <c r="J39" s="39">
        <v>-6.55</v>
      </c>
      <c r="K39" s="39"/>
      <c r="L39" s="39"/>
    </row>
    <row r="40" spans="1:17" x14ac:dyDescent="0.25">
      <c r="A40">
        <v>75</v>
      </c>
      <c r="B40" s="184">
        <v>42831</v>
      </c>
      <c r="C40" s="228">
        <v>100</v>
      </c>
      <c r="D40" s="229">
        <v>60.83</v>
      </c>
      <c r="E40" s="39">
        <v>58</v>
      </c>
      <c r="F40" s="39">
        <f t="shared" si="10"/>
        <v>-282.99999999999983</v>
      </c>
      <c r="G40" s="39">
        <f t="shared" si="11"/>
        <v>6083</v>
      </c>
      <c r="H40" s="222">
        <f t="shared" si="12"/>
        <v>-4.6523097156008525E-2</v>
      </c>
      <c r="I40" s="39"/>
      <c r="J40" s="39">
        <v>-251</v>
      </c>
      <c r="K40" s="39"/>
      <c r="L40" s="39"/>
    </row>
    <row r="41" spans="1:17" x14ac:dyDescent="0.25">
      <c r="A41">
        <v>75</v>
      </c>
      <c r="B41" s="184">
        <v>42846</v>
      </c>
      <c r="C41" s="10">
        <v>150</v>
      </c>
      <c r="D41" s="39">
        <v>59.7986</v>
      </c>
      <c r="E41" s="39">
        <v>57.73</v>
      </c>
      <c r="F41" s="39">
        <f t="shared" si="10"/>
        <v>-310.29000000000053</v>
      </c>
      <c r="G41" s="39">
        <f t="shared" si="11"/>
        <v>8969.7900000000009</v>
      </c>
      <c r="H41" s="222">
        <f t="shared" si="12"/>
        <v>-3.4592783108634707E-2</v>
      </c>
      <c r="I41" s="39"/>
      <c r="J41" s="39">
        <v>-260</v>
      </c>
      <c r="K41" s="39"/>
      <c r="L41" s="39"/>
    </row>
    <row r="42" spans="1:17" x14ac:dyDescent="0.25">
      <c r="A42">
        <v>75</v>
      </c>
      <c r="B42" s="184">
        <v>42857</v>
      </c>
      <c r="C42" s="10">
        <v>150</v>
      </c>
      <c r="D42" s="39">
        <v>59.558599999999998</v>
      </c>
      <c r="E42" s="39">
        <v>55.92</v>
      </c>
      <c r="F42" s="39">
        <f t="shared" si="10"/>
        <v>-545.78999999999951</v>
      </c>
      <c r="G42" s="39">
        <f t="shared" si="11"/>
        <v>8933.7899999999991</v>
      </c>
      <c r="H42" s="222">
        <f t="shared" si="12"/>
        <v>-6.1092772496331292E-2</v>
      </c>
      <c r="I42" s="39"/>
      <c r="J42" s="39">
        <v>-496</v>
      </c>
      <c r="K42" s="39"/>
      <c r="L42" s="39"/>
      <c r="Q42" s="2"/>
    </row>
    <row r="43" spans="1:17" x14ac:dyDescent="0.25">
      <c r="A43">
        <v>100</v>
      </c>
      <c r="B43" s="184">
        <v>42862</v>
      </c>
      <c r="C43" s="10">
        <v>150</v>
      </c>
      <c r="D43" s="39">
        <v>59.56</v>
      </c>
      <c r="E43" s="39">
        <v>57.3</v>
      </c>
      <c r="F43" s="39">
        <f t="shared" si="10"/>
        <v>-339.0000000000008</v>
      </c>
      <c r="G43" s="39">
        <f t="shared" si="11"/>
        <v>8934</v>
      </c>
      <c r="H43" s="222">
        <f t="shared" si="12"/>
        <v>-3.79449294828745E-2</v>
      </c>
      <c r="I43" s="39"/>
      <c r="J43" s="39">
        <v>-289</v>
      </c>
      <c r="K43" s="39"/>
      <c r="L43" s="39"/>
      <c r="Q43" s="2"/>
    </row>
    <row r="44" spans="1:17" x14ac:dyDescent="0.25">
      <c r="A44">
        <v>100</v>
      </c>
      <c r="B44" s="184">
        <v>42864</v>
      </c>
      <c r="C44" s="7">
        <v>200</v>
      </c>
      <c r="D44" s="43">
        <v>58.9</v>
      </c>
      <c r="E44" s="39">
        <v>56.98</v>
      </c>
      <c r="F44" s="39">
        <f t="shared" si="10"/>
        <v>-384.00000000000034</v>
      </c>
      <c r="G44" s="39">
        <f t="shared" si="11"/>
        <v>11780</v>
      </c>
      <c r="H44" s="222">
        <f t="shared" si="12"/>
        <v>-3.2597623089983055E-2</v>
      </c>
      <c r="I44" s="39"/>
      <c r="J44" s="39">
        <v>-333</v>
      </c>
      <c r="K44" s="39"/>
      <c r="L44" s="39"/>
      <c r="Q44" s="2"/>
    </row>
    <row r="45" spans="1:17" x14ac:dyDescent="0.25">
      <c r="A45">
        <v>100</v>
      </c>
      <c r="B45" s="184">
        <v>42900</v>
      </c>
      <c r="C45" s="10">
        <v>200</v>
      </c>
      <c r="D45" s="39">
        <v>58.5471</v>
      </c>
      <c r="E45" s="39">
        <v>58.75</v>
      </c>
      <c r="F45" s="39">
        <f t="shared" si="10"/>
        <v>40.579999999999927</v>
      </c>
      <c r="G45" s="39">
        <f t="shared" si="11"/>
        <v>11709.42</v>
      </c>
      <c r="H45" s="222">
        <f t="shared" si="12"/>
        <v>3.4655858274790664E-3</v>
      </c>
      <c r="I45" s="39"/>
      <c r="J45" s="39">
        <v>90.53</v>
      </c>
      <c r="K45" s="39"/>
      <c r="L45" s="39"/>
      <c r="Q45" s="2"/>
    </row>
    <row r="46" spans="1:17" x14ac:dyDescent="0.25">
      <c r="A46">
        <v>200</v>
      </c>
      <c r="B46" s="184">
        <v>42939</v>
      </c>
      <c r="C46" s="10">
        <v>200</v>
      </c>
      <c r="D46" s="39">
        <v>58.5471</v>
      </c>
      <c r="E46" s="39">
        <v>54.35</v>
      </c>
      <c r="F46" s="39">
        <f>C46*(E46-D46)</f>
        <v>-839.41999999999985</v>
      </c>
      <c r="G46" s="39">
        <f>D46*C46</f>
        <v>11709.42</v>
      </c>
      <c r="H46" s="222">
        <f>(E46-D46)/D46</f>
        <v>-7.1687581451515089E-2</v>
      </c>
      <c r="I46" s="39"/>
      <c r="J46" s="39">
        <v>-789</v>
      </c>
      <c r="K46" s="39"/>
      <c r="L46" s="39"/>
      <c r="Q46" s="2"/>
    </row>
    <row r="47" spans="1:17" x14ac:dyDescent="0.25">
      <c r="A47">
        <v>200</v>
      </c>
      <c r="B47" s="184">
        <v>42949</v>
      </c>
      <c r="C47" s="10">
        <v>200</v>
      </c>
      <c r="D47" s="39">
        <v>58.057000000000002</v>
      </c>
      <c r="E47" s="39">
        <v>56.07</v>
      </c>
      <c r="F47" s="39">
        <f>C47*(E47-D47)</f>
        <v>-397.40000000000038</v>
      </c>
      <c r="G47" s="39">
        <f>D47*C47</f>
        <v>11611.4</v>
      </c>
      <c r="H47" s="222">
        <f>(E47-D47)/D47</f>
        <v>-3.4224985789827272E-2</v>
      </c>
      <c r="I47" s="39"/>
      <c r="J47" s="39">
        <v>-347</v>
      </c>
      <c r="K47" s="39"/>
      <c r="L47" s="39"/>
      <c r="Q47" s="2"/>
    </row>
    <row r="48" spans="1:17" x14ac:dyDescent="0.25">
      <c r="A48">
        <v>150</v>
      </c>
      <c r="B48" s="184">
        <v>42978</v>
      </c>
      <c r="C48" s="10">
        <v>200</v>
      </c>
      <c r="D48" s="39">
        <v>57.92</v>
      </c>
      <c r="E48" s="39">
        <v>53.4</v>
      </c>
      <c r="F48" s="39">
        <f>C48*(E48-D48)</f>
        <v>-904.00000000000068</v>
      </c>
      <c r="G48" s="39">
        <f>D48*C48</f>
        <v>11584</v>
      </c>
      <c r="H48" s="222">
        <f>(E48-D48)/D48</f>
        <v>-7.8038674033149222E-2</v>
      </c>
      <c r="I48" s="39">
        <v>57</v>
      </c>
      <c r="J48" s="39">
        <v>-790</v>
      </c>
      <c r="K48" s="39"/>
      <c r="L48" s="39"/>
      <c r="Q48" s="2"/>
    </row>
    <row r="49" spans="1:17" x14ac:dyDescent="0.25">
      <c r="A49">
        <v>200</v>
      </c>
      <c r="B49" s="184">
        <v>43009</v>
      </c>
      <c r="C49" s="10">
        <v>200</v>
      </c>
      <c r="D49" s="39">
        <v>57.92</v>
      </c>
      <c r="E49" s="39">
        <v>51.76</v>
      </c>
      <c r="F49" s="39">
        <f>C49*(E49-D49)</f>
        <v>-1232.0000000000007</v>
      </c>
      <c r="G49" s="39">
        <f>D49*C49</f>
        <v>11584</v>
      </c>
      <c r="H49" s="222">
        <f>(E49-D49)/D49</f>
        <v>-0.10635359116022106</v>
      </c>
      <c r="I49" s="39"/>
      <c r="J49" s="39">
        <v>-1183</v>
      </c>
      <c r="K49" s="39"/>
      <c r="L49" s="39"/>
      <c r="Q49" s="2"/>
    </row>
    <row r="50" spans="1:17" x14ac:dyDescent="0.25">
      <c r="A50">
        <v>200</v>
      </c>
      <c r="B50" s="184">
        <v>43017</v>
      </c>
      <c r="C50" s="425">
        <v>300</v>
      </c>
      <c r="D50" s="426">
        <v>55.348300000000002</v>
      </c>
      <c r="E50" s="39">
        <v>50.19</v>
      </c>
      <c r="F50" s="39">
        <f>C50*(E50-D50)</f>
        <v>-1547.4900000000011</v>
      </c>
      <c r="G50" s="39">
        <f>D50*C50</f>
        <v>16604.490000000002</v>
      </c>
      <c r="H50" s="222">
        <f>(E50-D50)/D50</f>
        <v>-9.3197081030492429E-2</v>
      </c>
      <c r="I50" s="39">
        <v>55</v>
      </c>
      <c r="J50" s="39">
        <v>-1497</v>
      </c>
      <c r="K50" s="39"/>
      <c r="L50" s="39"/>
      <c r="Q50" s="2"/>
    </row>
    <row r="51" spans="1:17" x14ac:dyDescent="0.25">
      <c r="A51">
        <v>200</v>
      </c>
      <c r="B51" s="184">
        <v>43023</v>
      </c>
      <c r="C51" s="10">
        <v>300</v>
      </c>
      <c r="D51" s="39">
        <v>55.348300000000002</v>
      </c>
      <c r="E51" s="39">
        <v>51.53</v>
      </c>
      <c r="F51" s="39">
        <f t="shared" ref="F51:F59" si="13">C51*(E51-D51)</f>
        <v>-1145.4900000000002</v>
      </c>
      <c r="G51" s="39">
        <f t="shared" ref="G51:G59" si="14">D51*C51</f>
        <v>16604.490000000002</v>
      </c>
      <c r="H51" s="222">
        <f t="shared" ref="H51:H59" si="15">(E51-D51)/D51</f>
        <v>-6.8986762014370817E-2</v>
      </c>
      <c r="I51" s="39">
        <v>55</v>
      </c>
      <c r="J51" s="39">
        <v>-1497</v>
      </c>
      <c r="K51" s="39">
        <v>42.7</v>
      </c>
      <c r="L51" s="39"/>
      <c r="Q51" s="2"/>
    </row>
    <row r="52" spans="1:17" x14ac:dyDescent="0.25">
      <c r="A52">
        <v>100</v>
      </c>
      <c r="B52" s="184">
        <v>43028</v>
      </c>
      <c r="C52" s="10">
        <v>200</v>
      </c>
      <c r="D52" s="39">
        <v>56.997999999999998</v>
      </c>
      <c r="E52" s="39">
        <v>52.03</v>
      </c>
      <c r="F52" s="39">
        <f t="shared" si="13"/>
        <v>-993.59999999999923</v>
      </c>
      <c r="G52" s="39">
        <f t="shared" si="14"/>
        <v>11399.6</v>
      </c>
      <c r="H52" s="222">
        <f t="shared" si="15"/>
        <v>-8.7160953015895229E-2</v>
      </c>
      <c r="I52" s="193" t="s">
        <v>746</v>
      </c>
      <c r="J52" s="39">
        <v>-948</v>
      </c>
      <c r="K52" s="39">
        <v>46.9</v>
      </c>
      <c r="L52" s="39"/>
      <c r="Q52" s="2"/>
    </row>
    <row r="53" spans="1:17" x14ac:dyDescent="0.25">
      <c r="A53">
        <v>100</v>
      </c>
      <c r="B53" s="184">
        <v>43045</v>
      </c>
      <c r="C53" s="425">
        <v>300</v>
      </c>
      <c r="D53" s="426">
        <v>54.405299999999997</v>
      </c>
      <c r="E53" s="39">
        <v>50.1</v>
      </c>
      <c r="F53" s="39">
        <f t="shared" si="13"/>
        <v>-1291.5899999999986</v>
      </c>
      <c r="G53" s="39">
        <f t="shared" si="14"/>
        <v>16321.589999999998</v>
      </c>
      <c r="H53" s="222">
        <f t="shared" si="15"/>
        <v>-7.9133834387458496E-2</v>
      </c>
      <c r="I53" s="39"/>
      <c r="J53" s="39">
        <v>-1242</v>
      </c>
      <c r="K53" s="39" t="s">
        <v>185</v>
      </c>
      <c r="L53" s="39"/>
      <c r="Q53" s="2"/>
    </row>
    <row r="54" spans="1:17" x14ac:dyDescent="0.25">
      <c r="A54">
        <v>0</v>
      </c>
      <c r="B54" s="184">
        <v>43047</v>
      </c>
      <c r="C54" s="7">
        <v>200</v>
      </c>
      <c r="D54" s="43">
        <v>55.893599999999999</v>
      </c>
      <c r="E54" s="39">
        <v>51.5</v>
      </c>
      <c r="F54" s="39">
        <f t="shared" si="13"/>
        <v>-878.7199999999998</v>
      </c>
      <c r="G54" s="39">
        <f t="shared" si="14"/>
        <v>11178.72</v>
      </c>
      <c r="H54" s="222">
        <f t="shared" si="15"/>
        <v>-7.8606495198019086E-2</v>
      </c>
      <c r="I54" s="193" t="s">
        <v>760</v>
      </c>
      <c r="J54" s="39">
        <v>-829</v>
      </c>
      <c r="K54" s="39"/>
      <c r="L54" s="39"/>
      <c r="Q54" s="2"/>
    </row>
    <row r="55" spans="1:17" x14ac:dyDescent="0.25">
      <c r="A55">
        <v>50</v>
      </c>
      <c r="B55" s="184">
        <v>43068</v>
      </c>
      <c r="C55" s="10">
        <v>150</v>
      </c>
      <c r="D55" s="39">
        <v>55.765000000000001</v>
      </c>
      <c r="E55" s="39">
        <v>56.34</v>
      </c>
      <c r="F55" s="39">
        <f t="shared" si="13"/>
        <v>86.250000000000426</v>
      </c>
      <c r="G55" s="39">
        <f t="shared" si="14"/>
        <v>8364.75</v>
      </c>
      <c r="H55" s="222">
        <f t="shared" si="15"/>
        <v>1.0311127051017714E-2</v>
      </c>
      <c r="I55" s="39">
        <v>55.2</v>
      </c>
      <c r="J55" s="39">
        <v>136</v>
      </c>
      <c r="K55" s="39"/>
      <c r="L55" s="39"/>
    </row>
    <row r="56" spans="1:17" x14ac:dyDescent="0.25">
      <c r="A56">
        <v>0</v>
      </c>
      <c r="B56" s="184">
        <v>43069</v>
      </c>
      <c r="C56" s="10">
        <v>100</v>
      </c>
      <c r="D56" s="39">
        <v>55.208599999999997</v>
      </c>
      <c r="E56" s="39">
        <v>56.34</v>
      </c>
      <c r="F56" s="39">
        <f t="shared" si="13"/>
        <v>113.14000000000064</v>
      </c>
      <c r="G56" s="39">
        <f t="shared" si="14"/>
        <v>5520.86</v>
      </c>
      <c r="H56" s="222">
        <f t="shared" si="15"/>
        <v>2.0493184032922523E-2</v>
      </c>
      <c r="I56" s="39">
        <v>55</v>
      </c>
      <c r="J56" s="39">
        <v>217</v>
      </c>
      <c r="K56" s="39"/>
      <c r="L56" s="39"/>
    </row>
    <row r="57" spans="1:17" x14ac:dyDescent="0.25">
      <c r="A57">
        <v>75</v>
      </c>
      <c r="B57" s="184">
        <v>43087</v>
      </c>
      <c r="C57" s="10">
        <v>75</v>
      </c>
      <c r="D57" s="39">
        <v>54.28</v>
      </c>
      <c r="E57" s="39">
        <v>58</v>
      </c>
      <c r="F57" s="39">
        <f t="shared" si="13"/>
        <v>278.99999999999989</v>
      </c>
      <c r="G57" s="39">
        <f t="shared" si="14"/>
        <v>4071</v>
      </c>
      <c r="H57" s="222">
        <f t="shared" si="15"/>
        <v>6.8533529845246841E-2</v>
      </c>
      <c r="I57" s="39"/>
      <c r="J57" s="39">
        <v>329</v>
      </c>
      <c r="K57" s="39"/>
      <c r="L57" s="39"/>
    </row>
    <row r="58" spans="1:17" x14ac:dyDescent="0.25">
      <c r="A58">
        <v>60</v>
      </c>
      <c r="B58" s="184">
        <v>43091</v>
      </c>
      <c r="C58" s="10">
        <v>60</v>
      </c>
      <c r="D58" s="39">
        <v>52.8</v>
      </c>
      <c r="E58" s="39">
        <v>60.13</v>
      </c>
      <c r="F58" s="39">
        <f t="shared" si="13"/>
        <v>439.8000000000003</v>
      </c>
      <c r="G58" s="39">
        <f t="shared" si="14"/>
        <v>3168</v>
      </c>
      <c r="H58" s="222">
        <f t="shared" si="15"/>
        <v>0.13882575757575769</v>
      </c>
      <c r="I58" s="39"/>
      <c r="J58" s="39">
        <v>489</v>
      </c>
      <c r="K58" s="39"/>
      <c r="L58" s="39"/>
    </row>
    <row r="59" spans="1:17" x14ac:dyDescent="0.25">
      <c r="B59" s="184">
        <v>43133</v>
      </c>
      <c r="C59" s="10">
        <v>100</v>
      </c>
      <c r="D59" s="39">
        <v>54.483600000000003</v>
      </c>
      <c r="E59" s="39">
        <v>55.95</v>
      </c>
      <c r="F59" s="39">
        <f t="shared" si="13"/>
        <v>146.64000000000001</v>
      </c>
      <c r="G59" s="39">
        <f t="shared" si="14"/>
        <v>5448.3600000000006</v>
      </c>
      <c r="H59" s="222">
        <f t="shared" si="15"/>
        <v>2.6914521066889855E-2</v>
      </c>
      <c r="I59" s="39"/>
      <c r="J59" s="39">
        <v>197</v>
      </c>
      <c r="K59" s="39" t="s">
        <v>185</v>
      </c>
      <c r="L59" s="39"/>
    </row>
    <row r="60" spans="1:17" x14ac:dyDescent="0.25">
      <c r="B60" s="184">
        <v>43172</v>
      </c>
      <c r="C60" s="228">
        <v>100</v>
      </c>
      <c r="D60" s="229">
        <v>54.189599999999999</v>
      </c>
      <c r="E60" s="39">
        <v>51.99</v>
      </c>
      <c r="F60" s="39">
        <f t="shared" ref="F60:F67" si="16">C60*(E60-D60)</f>
        <v>-219.95999999999967</v>
      </c>
      <c r="G60" s="39">
        <f t="shared" ref="G60:G67" si="17">D60*C60</f>
        <v>5418.96</v>
      </c>
      <c r="H60" s="222">
        <f t="shared" ref="H60:H67" si="18">(E60-D60)/D60</f>
        <v>-4.0590814473625877E-2</v>
      </c>
      <c r="I60" s="39" t="s">
        <v>949</v>
      </c>
      <c r="J60" s="39">
        <v>-170</v>
      </c>
      <c r="K60" s="39"/>
      <c r="L60" s="39"/>
    </row>
    <row r="61" spans="1:17" x14ac:dyDescent="0.25">
      <c r="A61">
        <v>100</v>
      </c>
      <c r="B61" s="184">
        <v>43178</v>
      </c>
      <c r="C61" s="10">
        <v>150</v>
      </c>
      <c r="D61" s="39">
        <v>52.8431</v>
      </c>
      <c r="E61" s="39">
        <v>50.21</v>
      </c>
      <c r="F61" s="39">
        <f t="shared" si="16"/>
        <v>-394.9649999999998</v>
      </c>
      <c r="G61" s="39">
        <f t="shared" si="17"/>
        <v>7926.4650000000001</v>
      </c>
      <c r="H61" s="222">
        <f t="shared" si="18"/>
        <v>-4.9828643663978815E-2</v>
      </c>
      <c r="I61" s="39"/>
      <c r="J61" s="39">
        <v>-345</v>
      </c>
      <c r="K61" s="39"/>
      <c r="L61" s="39"/>
    </row>
    <row r="62" spans="1:17" x14ac:dyDescent="0.25">
      <c r="A62">
        <v>100</v>
      </c>
      <c r="B62" s="184">
        <v>43184</v>
      </c>
      <c r="C62" s="10">
        <v>150</v>
      </c>
      <c r="D62" s="39">
        <v>52.8431</v>
      </c>
      <c r="E62" s="39">
        <v>44.21</v>
      </c>
      <c r="F62" s="39">
        <f t="shared" si="16"/>
        <v>-1294.9649999999999</v>
      </c>
      <c r="G62" s="39">
        <f t="shared" si="17"/>
        <v>7926.4650000000001</v>
      </c>
      <c r="H62" s="222">
        <f t="shared" si="18"/>
        <v>-0.16337232297121099</v>
      </c>
      <c r="I62" s="39"/>
      <c r="J62" s="39">
        <v>-1245</v>
      </c>
      <c r="K62" s="39"/>
      <c r="L62" s="39"/>
    </row>
    <row r="63" spans="1:17" x14ac:dyDescent="0.25">
      <c r="A63">
        <v>100</v>
      </c>
      <c r="B63" s="184">
        <v>43185</v>
      </c>
      <c r="C63" s="10">
        <v>150</v>
      </c>
      <c r="D63" s="39">
        <v>52.8431</v>
      </c>
      <c r="E63" s="39">
        <v>45.3</v>
      </c>
      <c r="F63" s="39">
        <f t="shared" si="16"/>
        <v>-1131.4650000000004</v>
      </c>
      <c r="G63" s="39">
        <f t="shared" si="17"/>
        <v>7926.4650000000001</v>
      </c>
      <c r="H63" s="222">
        <f t="shared" si="18"/>
        <v>-0.14274522123039721</v>
      </c>
      <c r="I63" s="39"/>
      <c r="J63" s="39">
        <v>-1082</v>
      </c>
      <c r="K63" s="39"/>
      <c r="L63" s="39"/>
    </row>
    <row r="64" spans="1:17" x14ac:dyDescent="0.25">
      <c r="A64">
        <v>100</v>
      </c>
      <c r="B64" s="184">
        <v>43198</v>
      </c>
      <c r="C64" s="10">
        <v>150</v>
      </c>
      <c r="D64" s="39">
        <v>52.8431</v>
      </c>
      <c r="E64" s="39">
        <v>45.47</v>
      </c>
      <c r="F64" s="39">
        <f t="shared" si="16"/>
        <v>-1105.9650000000001</v>
      </c>
      <c r="G64" s="39">
        <f t="shared" si="17"/>
        <v>7926.4650000000001</v>
      </c>
      <c r="H64" s="222">
        <f t="shared" si="18"/>
        <v>-0.13952815031669227</v>
      </c>
      <c r="I64" s="39"/>
      <c r="J64" s="39">
        <v>-1056</v>
      </c>
      <c r="K64" s="39"/>
      <c r="L64" s="39">
        <v>14.76</v>
      </c>
    </row>
    <row r="65" spans="1:13" x14ac:dyDescent="0.25">
      <c r="A65">
        <v>150</v>
      </c>
      <c r="B65" s="184">
        <v>43222</v>
      </c>
      <c r="C65" s="10">
        <v>150</v>
      </c>
      <c r="D65" s="39">
        <v>52.353000000000002</v>
      </c>
      <c r="E65" s="39">
        <v>42.49</v>
      </c>
      <c r="F65" s="39">
        <f t="shared" si="16"/>
        <v>-1479.4499999999998</v>
      </c>
      <c r="G65" s="39">
        <f t="shared" si="17"/>
        <v>7852.95</v>
      </c>
      <c r="H65" s="222">
        <f t="shared" si="18"/>
        <v>-0.18839417034362882</v>
      </c>
      <c r="I65" s="39"/>
      <c r="J65" s="39">
        <v>-1430</v>
      </c>
      <c r="K65" s="39"/>
      <c r="L65" s="39">
        <v>13.8</v>
      </c>
    </row>
    <row r="66" spans="1:13" x14ac:dyDescent="0.25">
      <c r="A66">
        <v>150</v>
      </c>
      <c r="B66" s="184">
        <v>43279</v>
      </c>
      <c r="C66" s="10">
        <v>150</v>
      </c>
      <c r="D66" s="39">
        <v>52.353000000000002</v>
      </c>
      <c r="E66" s="39">
        <v>44.68</v>
      </c>
      <c r="F66" s="39">
        <f t="shared" si="16"/>
        <v>-1150.9500000000003</v>
      </c>
      <c r="G66" s="39">
        <f t="shared" si="17"/>
        <v>7852.95</v>
      </c>
      <c r="H66" s="222">
        <f t="shared" si="18"/>
        <v>-0.14656275667105995</v>
      </c>
      <c r="I66" s="39"/>
      <c r="J66" s="39">
        <v>-1101</v>
      </c>
      <c r="K66" s="39"/>
      <c r="L66" s="39">
        <v>14.5</v>
      </c>
    </row>
    <row r="67" spans="1:13" x14ac:dyDescent="0.25">
      <c r="A67">
        <v>150</v>
      </c>
      <c r="B67" s="184">
        <v>43299</v>
      </c>
      <c r="C67" s="7">
        <v>200</v>
      </c>
      <c r="D67" s="43">
        <v>50.134799999999998</v>
      </c>
      <c r="E67" s="39">
        <v>43.48</v>
      </c>
      <c r="F67" s="39">
        <f t="shared" si="16"/>
        <v>-1330.9600000000003</v>
      </c>
      <c r="G67" s="39">
        <f t="shared" si="17"/>
        <v>10026.959999999999</v>
      </c>
      <c r="H67" s="222">
        <f t="shared" si="18"/>
        <v>-0.13273813798000594</v>
      </c>
      <c r="I67" s="39"/>
      <c r="J67" s="39">
        <v>-1281</v>
      </c>
      <c r="K67" s="39"/>
      <c r="L67" s="39">
        <v>14.12</v>
      </c>
    </row>
    <row r="68" spans="1:13" x14ac:dyDescent="0.25"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</row>
    <row r="69" spans="1:13" x14ac:dyDescent="0.25">
      <c r="B69" s="184"/>
      <c r="C69" s="10"/>
      <c r="D69" s="39"/>
      <c r="E69" s="39"/>
      <c r="F69" s="39"/>
      <c r="G69" s="39"/>
      <c r="H69" s="222"/>
      <c r="I69" s="39"/>
      <c r="J69" s="39"/>
      <c r="K69" s="39"/>
      <c r="L69" s="39"/>
    </row>
    <row r="70" spans="1:13" x14ac:dyDescent="0.25">
      <c r="B70" s="184"/>
      <c r="C70" s="10"/>
      <c r="D70" s="39"/>
      <c r="E70" s="39"/>
      <c r="F70" s="39"/>
      <c r="G70" s="39"/>
      <c r="H70" s="222"/>
      <c r="I70" s="39"/>
      <c r="J70" s="39"/>
      <c r="K70" s="39"/>
      <c r="L70" s="39"/>
    </row>
    <row r="71" spans="1:13" x14ac:dyDescent="0.25">
      <c r="B71" s="184"/>
      <c r="C71" s="10"/>
      <c r="D71" s="39"/>
      <c r="E71" s="39"/>
      <c r="F71" s="39"/>
      <c r="G71" s="39"/>
      <c r="H71" s="222"/>
      <c r="I71" s="39"/>
      <c r="J71" s="39"/>
      <c r="K71" s="39"/>
      <c r="L71" s="39"/>
    </row>
    <row r="72" spans="1:13" x14ac:dyDescent="0.25">
      <c r="B72" s="184"/>
      <c r="C72" s="10"/>
      <c r="D72" s="39"/>
      <c r="E72" s="39"/>
      <c r="F72" s="39"/>
      <c r="G72" s="39"/>
      <c r="H72" s="222"/>
      <c r="I72" s="39"/>
      <c r="J72" s="39"/>
      <c r="K72" s="39"/>
      <c r="L72" s="39"/>
    </row>
    <row r="73" spans="1:13" x14ac:dyDescent="0.25">
      <c r="B73" s="184"/>
      <c r="C73" s="10"/>
      <c r="D73" s="39"/>
      <c r="E73" s="39"/>
      <c r="F73" s="39"/>
      <c r="G73" s="39"/>
      <c r="H73" s="222"/>
      <c r="I73" s="39"/>
      <c r="J73" s="39"/>
      <c r="K73" s="39"/>
      <c r="L73" s="39"/>
    </row>
    <row r="75" spans="1:13" x14ac:dyDescent="0.25">
      <c r="L75" t="s">
        <v>206</v>
      </c>
      <c r="M75" s="2">
        <f>M84+K84-F84</f>
        <v>49.949999999999818</v>
      </c>
    </row>
    <row r="76" spans="1:13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68" t="s">
        <v>7</v>
      </c>
      <c r="J76" s="368" t="s">
        <v>95</v>
      </c>
      <c r="K76" s="368" t="s">
        <v>61</v>
      </c>
      <c r="L76" s="368" t="s">
        <v>77</v>
      </c>
      <c r="M76" s="368" t="s">
        <v>38</v>
      </c>
    </row>
    <row r="77" spans="1:13" x14ac:dyDescent="0.25">
      <c r="A77" s="371" t="s">
        <v>171</v>
      </c>
      <c r="B77" s="373">
        <v>42376</v>
      </c>
      <c r="C77" s="362">
        <v>50</v>
      </c>
      <c r="D77" s="363">
        <v>55.15</v>
      </c>
      <c r="E77" s="363">
        <v>0</v>
      </c>
      <c r="F77" s="363">
        <f>C77*D77+E77</f>
        <v>2757.5</v>
      </c>
      <c r="G77" s="361">
        <v>42409</v>
      </c>
      <c r="H77" s="366">
        <v>50</v>
      </c>
      <c r="I77" s="363">
        <v>56.15</v>
      </c>
      <c r="J77" s="363">
        <v>0.05</v>
      </c>
      <c r="K77" s="362">
        <f>H77*I77-J77</f>
        <v>2807.45</v>
      </c>
      <c r="L77" s="361"/>
      <c r="M77" s="363"/>
    </row>
    <row r="78" spans="1:13" x14ac:dyDescent="0.25">
      <c r="A78" s="372" t="s">
        <v>71</v>
      </c>
      <c r="B78" s="373"/>
      <c r="C78" s="362"/>
      <c r="D78" s="363"/>
      <c r="E78" s="363"/>
      <c r="F78" s="363"/>
      <c r="G78" s="361"/>
      <c r="H78" s="362"/>
      <c r="I78" s="362"/>
      <c r="J78" s="362"/>
      <c r="K78" s="362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2"/>
      <c r="I79" s="362"/>
      <c r="J79" s="362"/>
      <c r="K79" s="362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2"/>
      <c r="I80" s="362"/>
      <c r="J80" s="362"/>
      <c r="K80" s="362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2"/>
      <c r="I83" s="362"/>
      <c r="J83" s="362"/>
      <c r="K83" s="362"/>
      <c r="L83" s="362"/>
      <c r="M83" s="362"/>
    </row>
    <row r="84" spans="1:13" x14ac:dyDescent="0.25">
      <c r="A84" s="21" t="s">
        <v>81</v>
      </c>
      <c r="B84" s="12"/>
      <c r="C84" s="12">
        <f>SUM(C77:C83)</f>
        <v>50</v>
      </c>
      <c r="D84" s="13"/>
      <c r="E84" s="13"/>
      <c r="F84" s="13">
        <f>SUM(F77:F83)</f>
        <v>2757.5</v>
      </c>
      <c r="G84" s="12"/>
      <c r="H84" s="12">
        <f>SUM(H77:H80)</f>
        <v>50</v>
      </c>
      <c r="I84" s="12"/>
      <c r="J84" s="12"/>
      <c r="K84" s="12">
        <f>SUM(K77:K80)</f>
        <v>2807.45</v>
      </c>
      <c r="L84" s="12"/>
      <c r="M84" s="13">
        <f>SUM(M77:M80)</f>
        <v>0</v>
      </c>
    </row>
    <row r="85" spans="1:13" x14ac:dyDescent="0.25">
      <c r="A85" s="362"/>
      <c r="B85" s="362"/>
      <c r="C85" s="362"/>
      <c r="D85" s="363"/>
      <c r="E85" s="363"/>
      <c r="F85" s="363"/>
      <c r="G85" s="362"/>
      <c r="H85" s="362"/>
      <c r="I85" s="362"/>
      <c r="J85" s="362"/>
      <c r="K85" s="362"/>
      <c r="L85" s="362"/>
      <c r="M85" s="362"/>
    </row>
  </sheetData>
  <mergeCells count="1">
    <mergeCell ref="O17:P17"/>
  </mergeCells>
  <conditionalFormatting sqref="O18:O38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1 H25:H61 F70:F73 H70:H73">
    <cfRule type="expression" dxfId="81" priority="37">
      <formula>F25&gt;0</formula>
    </cfRule>
    <cfRule type="expression" dxfId="80" priority="38">
      <formula>F25&lt;0</formula>
    </cfRule>
  </conditionalFormatting>
  <conditionalFormatting sqref="Q8">
    <cfRule type="expression" dxfId="79" priority="31">
      <formula>Q8&gt;0</formula>
    </cfRule>
    <cfRule type="expression" dxfId="78" priority="32">
      <formula>Q8&lt;0</formula>
    </cfRule>
  </conditionalFormatting>
  <conditionalFormatting sqref="Q7">
    <cfRule type="expression" dxfId="77" priority="33">
      <formula>Q7&gt;0</formula>
    </cfRule>
    <cfRule type="expression" dxfId="76" priority="34">
      <formula>Q7&lt;0</formula>
    </cfRule>
  </conditionalFormatting>
  <conditionalFormatting sqref="M75">
    <cfRule type="expression" dxfId="75" priority="29">
      <formula>M75&gt;0</formula>
    </cfRule>
    <cfRule type="expression" dxfId="74" priority="30">
      <formula>M75&lt;0</formula>
    </cfRule>
  </conditionalFormatting>
  <conditionalFormatting sqref="J39">
    <cfRule type="expression" dxfId="73" priority="27">
      <formula>J39&gt;0</formula>
    </cfRule>
    <cfRule type="expression" dxfId="72" priority="28">
      <formula>J39&lt;0</formula>
    </cfRule>
  </conditionalFormatting>
  <conditionalFormatting sqref="J40:J52 J53:K61 J70:K71 K63:K65">
    <cfRule type="expression" dxfId="71" priority="25">
      <formula>J40&gt;0</formula>
    </cfRule>
    <cfRule type="expression" dxfId="70" priority="26">
      <formula>J40&lt;0</formula>
    </cfRule>
  </conditionalFormatting>
  <conditionalFormatting sqref="Q10">
    <cfRule type="expression" dxfId="69" priority="23">
      <formula>Q10&gt;0</formula>
    </cfRule>
    <cfRule type="expression" dxfId="68" priority="24">
      <formula>Q10&lt;0</formula>
    </cfRule>
  </conditionalFormatting>
  <conditionalFormatting sqref="Q9">
    <cfRule type="expression" dxfId="67" priority="21">
      <formula>Q9&gt;0</formula>
    </cfRule>
    <cfRule type="expression" dxfId="66" priority="22">
      <formula>Q9&lt;0</formula>
    </cfRule>
  </conditionalFormatting>
  <conditionalFormatting sqref="F62 H62">
    <cfRule type="expression" dxfId="65" priority="19">
      <formula>F62&gt;0</formula>
    </cfRule>
    <cfRule type="expression" dxfId="64" priority="20">
      <formula>F62&lt;0</formula>
    </cfRule>
  </conditionalFormatting>
  <conditionalFormatting sqref="J62:K62">
    <cfRule type="expression" dxfId="63" priority="17">
      <formula>J62&gt;0</formula>
    </cfRule>
    <cfRule type="expression" dxfId="62" priority="18">
      <formula>J62&lt;0</formula>
    </cfRule>
  </conditionalFormatting>
  <conditionalFormatting sqref="F63 H63">
    <cfRule type="expression" dxfId="61" priority="15">
      <formula>F63&gt;0</formula>
    </cfRule>
    <cfRule type="expression" dxfId="60" priority="16">
      <formula>F63&lt;0</formula>
    </cfRule>
  </conditionalFormatting>
  <conditionalFormatting sqref="J63">
    <cfRule type="expression" dxfId="59" priority="13">
      <formula>J63&gt;0</formula>
    </cfRule>
    <cfRule type="expression" dxfId="58" priority="14">
      <formula>J63&lt;0</formula>
    </cfRule>
  </conditionalFormatting>
  <conditionalFormatting sqref="F64:F66 H64:H66">
    <cfRule type="expression" dxfId="57" priority="11">
      <formula>F64&gt;0</formula>
    </cfRule>
    <cfRule type="expression" dxfId="56" priority="12">
      <formula>F64&lt;0</formula>
    </cfRule>
  </conditionalFormatting>
  <conditionalFormatting sqref="J64:J66">
    <cfRule type="expression" dxfId="55" priority="9">
      <formula>J64&gt;0</formula>
    </cfRule>
    <cfRule type="expression" dxfId="54" priority="10">
      <formula>J64&lt;0</formula>
    </cfRule>
  </conditionalFormatting>
  <conditionalFormatting sqref="L53:L57">
    <cfRule type="expression" dxfId="53" priority="7">
      <formula>L53&gt;0</formula>
    </cfRule>
    <cfRule type="expression" dxfId="52" priority="8">
      <formula>L53&lt;0</formula>
    </cfRule>
  </conditionalFormatting>
  <conditionalFormatting sqref="F67:F69 H67:H69">
    <cfRule type="expression" dxfId="51" priority="3">
      <formula>F67&gt;0</formula>
    </cfRule>
    <cfRule type="expression" dxfId="50" priority="4">
      <formula>F67&lt;0</formula>
    </cfRule>
  </conditionalFormatting>
  <conditionalFormatting sqref="J67:K67 K66">
    <cfRule type="expression" dxfId="49" priority="1">
      <formula>J66&gt;0</formula>
    </cfRule>
    <cfRule type="expression" dxfId="48" priority="2">
      <formula>J66&lt;0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drawing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40.090000000000003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40.090000000000003</v>
      </c>
      <c r="R4" s="475">
        <v>8.6E-3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207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206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206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65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65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57" t="s">
        <v>78</v>
      </c>
      <c r="P41" s="857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44.099000000000011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43.698100000000004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43.297200000000004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42.896300000000004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42.495400000000004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42.094500000000004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41.693600000000004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41.292700000000004</v>
      </c>
      <c r="Q49" s="2"/>
      <c r="T49" s="10" t="s">
        <v>103</v>
      </c>
      <c r="U49" s="10" t="s">
        <v>523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40.891800000000003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40.490900000000003</v>
      </c>
      <c r="Q51" s="2"/>
      <c r="T51" s="10" t="s">
        <v>104</v>
      </c>
      <c r="U51" s="10" t="s">
        <v>650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40.090000000000003</v>
      </c>
      <c r="Q52" s="2"/>
      <c r="T52" s="10" t="s">
        <v>105</v>
      </c>
      <c r="U52" s="10" t="s">
        <v>477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39.689100000000003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39.288200000000003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38.887300000000003</v>
      </c>
      <c r="T55" s="10" t="s">
        <v>107</v>
      </c>
      <c r="U55" s="10" t="s">
        <v>651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38.486400000000003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38.085500000000003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37.684600000000003</v>
      </c>
      <c r="T58" s="10" t="s">
        <v>108</v>
      </c>
      <c r="U58" s="10" t="s">
        <v>549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37.283700000000003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36.882800000000003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36.481900000000003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36.081000000000003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214.16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214.16</v>
      </c>
      <c r="R4" s="475">
        <v>1.0999999999999999E-2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207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206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206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57" t="s">
        <v>78</v>
      </c>
      <c r="P45" s="857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235.57600000000002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233.43440000000001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231.2928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229.15120000000002</v>
      </c>
      <c r="Q49" s="2"/>
      <c r="T49" s="91" t="s">
        <v>103</v>
      </c>
      <c r="U49" s="416" t="s">
        <v>550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227.00960000000001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224.86799999999999</v>
      </c>
      <c r="Q51" s="2"/>
      <c r="T51" s="91" t="s">
        <v>104</v>
      </c>
      <c r="U51" s="416" t="s">
        <v>652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222.72640000000001</v>
      </c>
      <c r="Q52" s="2"/>
      <c r="T52" s="91" t="s">
        <v>105</v>
      </c>
      <c r="U52" s="416" t="s">
        <v>524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220.5848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218.44319999999999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216.30160000000001</v>
      </c>
      <c r="Q55" s="2"/>
      <c r="T55" s="91" t="s">
        <v>107</v>
      </c>
      <c r="U55" s="416" t="s">
        <v>653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214.16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212.01839999999999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209.8768</v>
      </c>
      <c r="Q58" s="2"/>
      <c r="T58" s="91" t="s">
        <v>108</v>
      </c>
      <c r="U58" s="416" t="s">
        <v>517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207.73519999999999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205.59359999999998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203.452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201.31039999999999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199.1688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197.02719999999999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194.88560000000001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192.744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44.5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44.5</v>
      </c>
      <c r="R4" s="475">
        <v>-3.3999999999999998E-3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207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206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206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48.95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48.505000000000003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48.06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47.615000000000002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47.17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46.725000000000001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46.28</v>
      </c>
      <c r="Q49" s="2"/>
      <c r="T49" s="91" t="s">
        <v>121</v>
      </c>
      <c r="U49" s="416" t="s">
        <v>368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45.835000000000001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45.39</v>
      </c>
      <c r="Q51" s="2"/>
      <c r="T51" s="91" t="s">
        <v>104</v>
      </c>
      <c r="U51" s="416" t="s">
        <v>654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44.945</v>
      </c>
      <c r="Q52" s="2"/>
      <c r="T52" s="91" t="s">
        <v>105</v>
      </c>
      <c r="U52" s="416" t="s">
        <v>443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44.5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44.055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43.61</v>
      </c>
      <c r="Q55" s="2"/>
      <c r="T55" s="91" t="s">
        <v>107</v>
      </c>
      <c r="U55" s="416" t="s">
        <v>655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43.164999999999999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42.72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42.274999999999999</v>
      </c>
      <c r="Q58" s="2"/>
      <c r="T58" s="91" t="s">
        <v>108</v>
      </c>
      <c r="U58" s="416" t="s">
        <v>551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41.83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41.385000000000005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40.940000000000005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40.495000000000005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40.050000000000004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127.06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127.06</v>
      </c>
      <c r="R4" s="475">
        <v>3.0000000000000001E-3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207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206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206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210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57" t="s">
        <v>78</v>
      </c>
      <c r="Q39" s="857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139.76600000000002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138.49540000000002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137.22480000000002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135.95420000000001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134.68360000000001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133.41300000000001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132.14240000000001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130.87180000000001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129.60120000000001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128.3306</v>
      </c>
      <c r="T49" s="91" t="s">
        <v>121</v>
      </c>
      <c r="U49" s="86" t="s">
        <v>368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127.06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125.7894</v>
      </c>
      <c r="T51" s="91" t="s">
        <v>104</v>
      </c>
      <c r="U51" s="86" t="s">
        <v>656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124.5188</v>
      </c>
      <c r="T52" s="91" t="s">
        <v>105</v>
      </c>
      <c r="U52" s="86" t="s">
        <v>499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123.2482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121.9776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120.70699999999999</v>
      </c>
      <c r="T55" s="91" t="s">
        <v>107</v>
      </c>
      <c r="U55" s="86" t="s">
        <v>657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119.43639999999999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118.1658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116.8952</v>
      </c>
      <c r="T58" s="91" t="s">
        <v>108</v>
      </c>
      <c r="U58" s="86" t="s">
        <v>552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115.6246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114.354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255.54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255.54</v>
      </c>
      <c r="R4" s="475">
        <v>7.4000000000000003E-3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207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206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531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206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57" t="s">
        <v>78</v>
      </c>
      <c r="P41" s="857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281.09399999999999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278.53860000000003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275.98320000000001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273.42779999999999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270.87240000000003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268.31700000000001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265.76159999999999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263.20620000000002</v>
      </c>
      <c r="Q49" s="81"/>
      <c r="T49" s="91" t="s">
        <v>103</v>
      </c>
      <c r="U49" s="86" t="s">
        <v>512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260.6508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258.09539999999998</v>
      </c>
      <c r="Q51" s="81"/>
      <c r="T51" s="91" t="s">
        <v>104</v>
      </c>
      <c r="U51" s="86" t="s">
        <v>658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255.54</v>
      </c>
      <c r="Q52" s="81"/>
      <c r="T52" s="91" t="s">
        <v>105</v>
      </c>
      <c r="U52" s="86" t="s">
        <v>507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252.9846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250.42919999999998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247.87379999999999</v>
      </c>
      <c r="Q55" s="81"/>
      <c r="T55" s="91" t="s">
        <v>107</v>
      </c>
      <c r="U55" s="86" t="s">
        <v>659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245.3184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242.76299999999998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240.20759999999999</v>
      </c>
      <c r="Q58" s="81"/>
      <c r="T58" s="91" t="s">
        <v>108</v>
      </c>
      <c r="U58" s="86" t="s">
        <v>553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237.65219999999999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235.0968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232.54140000000001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229.98599999999999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89</vt:i4>
      </vt:variant>
      <vt:variant>
        <vt:lpstr>Named Ranges</vt:lpstr>
      </vt:variant>
      <vt:variant>
        <vt:i4>74</vt:i4>
      </vt:variant>
    </vt:vector>
  </HeadingPairs>
  <TitlesOfParts>
    <vt:vector size="163" baseType="lpstr">
      <vt:lpstr>ACTIVE</vt:lpstr>
      <vt:lpstr>CLOSED</vt:lpstr>
      <vt:lpstr>Balance</vt:lpstr>
      <vt:lpstr>BIIB</vt:lpstr>
      <vt:lpstr>MYL</vt:lpstr>
      <vt:lpstr>SIG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IEMG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CCE!hp?s_cce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CVS!q?s_cvs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2018-07-29T13:57:35Z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