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8">DAL!$W$1:$AC$69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3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7" i="61" l="1"/>
  <c r="H37" i="61"/>
  <c r="G37" i="61"/>
  <c r="H48" i="70"/>
  <c r="G48" i="70"/>
  <c r="F48" i="70"/>
  <c r="N53" i="35"/>
  <c r="N55" i="35"/>
  <c r="N50" i="35"/>
  <c r="N51" i="35"/>
  <c r="N27" i="35"/>
  <c r="N26" i="35"/>
  <c r="N58" i="35"/>
  <c r="N25" i="35"/>
  <c r="N24" i="35"/>
  <c r="N20" i="35"/>
  <c r="N48" i="35"/>
  <c r="N18" i="35"/>
  <c r="N12" i="35"/>
  <c r="N52" i="35"/>
  <c r="N8" i="35"/>
  <c r="N42" i="35"/>
  <c r="N5" i="35"/>
  <c r="N33" i="35"/>
  <c r="N43" i="35"/>
  <c r="N49" i="35"/>
  <c r="N14" i="35"/>
  <c r="N32" i="35"/>
  <c r="N2" i="35"/>
  <c r="N57" i="35"/>
  <c r="N15" i="35"/>
  <c r="N47" i="35"/>
  <c r="N46" i="35"/>
  <c r="N40" i="35"/>
  <c r="N54" i="35"/>
  <c r="N28" i="35"/>
  <c r="N29" i="35"/>
  <c r="N30" i="35"/>
  <c r="N38" i="35"/>
  <c r="N56" i="35"/>
  <c r="N36" i="35"/>
  <c r="N41" i="35"/>
  <c r="N21" i="35"/>
  <c r="N16" i="35"/>
  <c r="N31" i="35"/>
  <c r="N22" i="35"/>
  <c r="N34" i="35"/>
  <c r="N37" i="35"/>
  <c r="N17" i="35"/>
  <c r="N7" i="35"/>
  <c r="N4" i="35"/>
  <c r="N11" i="35"/>
  <c r="N13" i="35"/>
  <c r="N35" i="35"/>
  <c r="N6" i="35"/>
  <c r="N23" i="35"/>
  <c r="N44" i="35"/>
  <c r="N19" i="35"/>
  <c r="N9" i="35"/>
  <c r="N3" i="35"/>
  <c r="N45" i="35"/>
  <c r="N39" i="35"/>
  <c r="N10" i="35"/>
  <c r="D402" i="38"/>
  <c r="E402" i="38"/>
  <c r="G402" i="38"/>
  <c r="H402" i="38"/>
  <c r="K402" i="38"/>
  <c r="L402" i="38" s="1"/>
  <c r="M402" i="38"/>
  <c r="T402" i="38" s="1"/>
  <c r="N402" i="38"/>
  <c r="R402" i="38"/>
  <c r="U402" i="38"/>
  <c r="O402" i="38" l="1"/>
  <c r="P402" i="38" s="1"/>
  <c r="V402" i="38"/>
  <c r="W402" i="38" s="1"/>
  <c r="H25" i="74"/>
  <c r="G25" i="74"/>
  <c r="F25" i="74"/>
  <c r="F4" i="74"/>
  <c r="F2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Q2" i="76" s="1"/>
  <c r="AE17" i="76"/>
  <c r="AE16" i="76"/>
  <c r="AE15" i="76"/>
  <c r="AE14" i="76"/>
  <c r="AE13" i="76"/>
  <c r="AE12" i="76"/>
  <c r="AE11" i="76"/>
  <c r="Q11" i="76"/>
  <c r="AE10" i="76"/>
  <c r="AE9" i="76"/>
  <c r="AE8" i="76"/>
  <c r="AE7" i="76"/>
  <c r="AE6" i="76"/>
  <c r="AE5" i="76"/>
  <c r="AE4" i="76"/>
  <c r="AE3" i="76"/>
  <c r="AE2" i="76"/>
  <c r="K18" i="76"/>
  <c r="F18" i="76"/>
  <c r="F19" i="76"/>
  <c r="M19" i="76"/>
  <c r="K19" i="76"/>
  <c r="H19" i="76"/>
  <c r="C19" i="76"/>
  <c r="Q8" i="76" l="1"/>
  <c r="Q7" i="76" s="1"/>
  <c r="Q5" i="76"/>
  <c r="Q3" i="76"/>
  <c r="Q6" i="76" s="1"/>
  <c r="L397" i="38"/>
  <c r="L398" i="38"/>
  <c r="L399" i="38"/>
  <c r="L400" i="38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U401" i="38"/>
  <c r="Q9" i="76" l="1"/>
  <c r="O401" i="38"/>
  <c r="V401" i="38"/>
  <c r="W401" i="38" s="1"/>
  <c r="N401" i="38"/>
  <c r="F48" i="69"/>
  <c r="H48" i="69"/>
  <c r="G48" i="69"/>
  <c r="F54" i="25" l="1"/>
  <c r="H54" i="25"/>
  <c r="G54" i="25"/>
  <c r="F27" i="25"/>
  <c r="E400" i="38"/>
  <c r="H400" i="38"/>
  <c r="K400" i="38"/>
  <c r="M400" i="38"/>
  <c r="T400" i="38" s="1"/>
  <c r="N400" i="38"/>
  <c r="R400" i="38"/>
  <c r="O400" i="38" l="1"/>
  <c r="D399" i="38"/>
  <c r="E399" i="38"/>
  <c r="H399" i="38"/>
  <c r="K399" i="38"/>
  <c r="M399" i="38"/>
  <c r="T399" i="38" s="1"/>
  <c r="N399" i="38"/>
  <c r="R399" i="38"/>
  <c r="F256" i="7"/>
  <c r="H256" i="7"/>
  <c r="G256" i="7"/>
  <c r="K97" i="7"/>
  <c r="O399" i="38" l="1"/>
  <c r="F130" i="31"/>
  <c r="G130" i="31"/>
  <c r="H130" i="31"/>
  <c r="F36" i="61"/>
  <c r="G36" i="61"/>
  <c r="H36" i="61"/>
  <c r="F47" i="70"/>
  <c r="H47" i="70"/>
  <c r="F31" i="58" l="1"/>
  <c r="H31" i="58"/>
  <c r="G31" i="58"/>
  <c r="F4" i="58"/>
  <c r="F38" i="45"/>
  <c r="G38" i="45"/>
  <c r="H38" i="45"/>
  <c r="F4" i="45"/>
  <c r="F55" i="17"/>
  <c r="H55" i="17"/>
  <c r="G55" i="17"/>
  <c r="L55" i="17" s="1"/>
  <c r="F7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M398" i="38"/>
  <c r="N398" i="38" s="1"/>
  <c r="R398" i="38"/>
  <c r="O398" i="38" l="1"/>
  <c r="T398" i="38"/>
  <c r="E397" i="38"/>
  <c r="H397" i="38"/>
  <c r="K397" i="38"/>
  <c r="M397" i="38"/>
  <c r="T397" i="38" s="1"/>
  <c r="R397" i="38"/>
  <c r="F54" i="17"/>
  <c r="H54" i="17"/>
  <c r="G54" i="17"/>
  <c r="L54" i="17" s="1"/>
  <c r="F6" i="17"/>
  <c r="O397" i="38" l="1"/>
  <c r="P401" i="38" s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G47" i="70"/>
  <c r="K8" i="70"/>
  <c r="H18" i="70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5" i="17"/>
  <c r="N386" i="38" l="1"/>
  <c r="E385" i="38"/>
  <c r="H385" i="38"/>
  <c r="K385" i="38"/>
  <c r="L385" i="38" s="1"/>
  <c r="O385" i="38" s="1"/>
  <c r="M385" i="38"/>
  <c r="T385" i="38" s="1"/>
  <c r="N385" i="38"/>
  <c r="R385" i="38"/>
  <c r="F50" i="17"/>
  <c r="G50" i="17"/>
  <c r="L50" i="17" s="1"/>
  <c r="H50" i="17"/>
  <c r="D384" i="38" l="1"/>
  <c r="E384" i="38"/>
  <c r="H384" i="38"/>
  <c r="K384" i="38"/>
  <c r="L384" i="38" s="1"/>
  <c r="O384" i="38" s="1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N383" i="38" l="1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C93" i="68"/>
  <c r="F93" i="68"/>
  <c r="H93" i="68"/>
  <c r="K93" i="68"/>
  <c r="M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O364" i="38" l="1"/>
  <c r="N364" i="38"/>
  <c r="F42" i="69"/>
  <c r="H42" i="69"/>
  <c r="G42" i="69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595" i="25"/>
  <c r="F595" i="25"/>
  <c r="M595" i="25"/>
  <c r="H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K18" i="70" s="1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90" i="72"/>
  <c r="C19" i="63"/>
  <c r="K19" i="72"/>
  <c r="C19" i="70"/>
  <c r="H103" i="58"/>
  <c r="M19" i="62"/>
  <c r="M32" i="31"/>
  <c r="F75" i="41"/>
  <c r="M29" i="51"/>
  <c r="H19" i="64"/>
  <c r="K72" i="59"/>
  <c r="C19" i="68"/>
  <c r="M90" i="72"/>
  <c r="H19" i="57"/>
  <c r="C19" i="57"/>
  <c r="C94" i="52"/>
  <c r="K19" i="68"/>
  <c r="C32" i="25"/>
  <c r="K19" i="41"/>
  <c r="M19" i="72"/>
  <c r="M19" i="54"/>
  <c r="K19" i="58"/>
  <c r="K19" i="3"/>
  <c r="C19" i="59"/>
  <c r="H63" i="66"/>
  <c r="C111" i="54"/>
  <c r="F19" i="71"/>
  <c r="M19" i="58"/>
  <c r="C407" i="17"/>
  <c r="H19" i="72"/>
  <c r="C19" i="60"/>
  <c r="H407" i="17"/>
  <c r="F19" i="68"/>
  <c r="C30" i="49"/>
  <c r="C67" i="60"/>
  <c r="M19" i="63"/>
  <c r="K75" i="41"/>
  <c r="K65" i="63"/>
  <c r="K148" i="45"/>
  <c r="M120" i="57"/>
  <c r="F19" i="52"/>
  <c r="F19" i="59"/>
  <c r="F94" i="52"/>
  <c r="C63" i="66"/>
  <c r="C19" i="71"/>
  <c r="M19" i="69"/>
  <c r="K19" i="45"/>
  <c r="H19" i="61"/>
  <c r="F29" i="51"/>
  <c r="F156" i="49"/>
  <c r="M55" i="50"/>
  <c r="F67" i="60"/>
  <c r="H19" i="53"/>
  <c r="H29" i="51"/>
  <c r="K65" i="71"/>
  <c r="F19" i="3"/>
  <c r="H65" i="71"/>
  <c r="F30" i="49"/>
  <c r="K19" i="75"/>
  <c r="F19" i="70"/>
  <c r="C148" i="45"/>
  <c r="F148" i="45"/>
  <c r="M156" i="49"/>
  <c r="C19" i="64"/>
  <c r="C19" i="54"/>
  <c r="C19" i="73"/>
  <c r="K19" i="54"/>
  <c r="H19" i="34"/>
  <c r="C19" i="62"/>
  <c r="K29" i="51"/>
  <c r="H72" i="59"/>
  <c r="M19" i="57"/>
  <c r="H67" i="60"/>
  <c r="H19" i="59"/>
  <c r="H55" i="50"/>
  <c r="M23" i="17"/>
  <c r="C156" i="49"/>
  <c r="M19" i="71"/>
  <c r="K24" i="40"/>
  <c r="M19" i="64"/>
  <c r="F407" i="17"/>
  <c r="F19" i="57"/>
  <c r="F72" i="70"/>
  <c r="C19" i="45"/>
  <c r="H156" i="49"/>
  <c r="C32" i="31"/>
  <c r="K19" i="59"/>
  <c r="F19" i="61"/>
  <c r="F19" i="69"/>
  <c r="C19" i="53"/>
  <c r="M19" i="59"/>
  <c r="C19" i="75"/>
  <c r="K19" i="62"/>
  <c r="K156" i="49"/>
  <c r="F63" i="66"/>
  <c r="F32" i="31"/>
  <c r="M86" i="53"/>
  <c r="H19" i="60"/>
  <c r="H19" i="69"/>
  <c r="C72" i="70"/>
  <c r="C72" i="59"/>
  <c r="K19" i="71"/>
  <c r="H100" i="34"/>
  <c r="H19" i="52"/>
  <c r="C86" i="53"/>
  <c r="H19" i="58"/>
  <c r="F19" i="54"/>
  <c r="F119" i="7"/>
  <c r="H19" i="70"/>
  <c r="F24" i="40"/>
  <c r="F85" i="64"/>
  <c r="H148" i="45"/>
  <c r="C19" i="34"/>
  <c r="K19" i="63"/>
  <c r="K73" i="61"/>
  <c r="M19" i="61"/>
  <c r="K19" i="61"/>
  <c r="F19" i="53"/>
  <c r="K19" i="70"/>
  <c r="K19" i="60"/>
  <c r="K19" i="53"/>
  <c r="K100" i="34"/>
  <c r="M103" i="58"/>
  <c r="M111" i="54"/>
  <c r="H72" i="70"/>
  <c r="K19" i="73"/>
  <c r="M100" i="34"/>
  <c r="K19" i="50"/>
  <c r="F55" i="50"/>
  <c r="M19" i="73"/>
  <c r="M19" i="52"/>
  <c r="M65" i="63"/>
  <c r="C65" i="63"/>
  <c r="F19" i="64"/>
  <c r="F19" i="75"/>
  <c r="F23" i="17"/>
  <c r="M75" i="41"/>
  <c r="K19" i="52"/>
  <c r="K67" i="60"/>
  <c r="H75" i="41"/>
  <c r="H30" i="49"/>
  <c r="H19" i="75"/>
  <c r="F19" i="34"/>
  <c r="F19" i="62"/>
  <c r="K94" i="52"/>
  <c r="C23" i="17"/>
  <c r="C55" i="50"/>
  <c r="C19" i="66"/>
  <c r="M65" i="71"/>
  <c r="H19" i="54"/>
  <c r="H19" i="3"/>
  <c r="C73" i="61"/>
  <c r="H19" i="71"/>
  <c r="C19" i="72"/>
  <c r="M19" i="66"/>
  <c r="K19" i="64"/>
  <c r="K63" i="66"/>
  <c r="C100" i="34"/>
  <c r="F19" i="55"/>
  <c r="H19" i="62"/>
  <c r="H19" i="66"/>
  <c r="K19" i="66"/>
  <c r="M19" i="34"/>
  <c r="M85" i="64"/>
  <c r="F73" i="61"/>
  <c r="K72" i="70"/>
  <c r="K86" i="53"/>
  <c r="F19" i="58"/>
  <c r="C65" i="71"/>
  <c r="M30" i="49"/>
  <c r="M19" i="50"/>
  <c r="C19" i="41"/>
  <c r="K32" i="25"/>
  <c r="F86" i="53"/>
  <c r="H19" i="50"/>
  <c r="H120" i="57"/>
  <c r="M19" i="45"/>
  <c r="H19" i="68"/>
  <c r="C103" i="58"/>
  <c r="K19" i="57"/>
  <c r="F111" i="54"/>
  <c r="H73" i="61"/>
  <c r="H24" i="40"/>
  <c r="K19" i="69"/>
  <c r="F19" i="60"/>
  <c r="M73" i="61"/>
  <c r="F65" i="63"/>
  <c r="K120" i="57"/>
  <c r="F19" i="73"/>
  <c r="C120" i="57"/>
  <c r="M19" i="55"/>
  <c r="M72" i="70"/>
  <c r="H19" i="45"/>
  <c r="H94" i="52"/>
  <c r="K103" i="58"/>
  <c r="M19" i="70"/>
  <c r="K19" i="55"/>
  <c r="C119" i="7"/>
  <c r="K23" i="17"/>
  <c r="F65" i="71"/>
  <c r="K55" i="50"/>
  <c r="C19" i="58"/>
  <c r="F19" i="45"/>
  <c r="K32" i="31"/>
  <c r="K111" i="54"/>
  <c r="F72" i="59"/>
  <c r="K90" i="72"/>
  <c r="H65" i="63"/>
  <c r="M94" i="52"/>
  <c r="F103" i="58"/>
  <c r="C19" i="52"/>
  <c r="H86" i="53"/>
  <c r="H19" i="41"/>
  <c r="M67" i="60"/>
  <c r="F32" i="25"/>
  <c r="M148" i="45"/>
  <c r="C19" i="50"/>
  <c r="M19" i="41"/>
  <c r="M119" i="7"/>
  <c r="C90" i="72"/>
  <c r="F120" i="57"/>
  <c r="K407" i="17"/>
  <c r="F19" i="41"/>
  <c r="C85" i="64"/>
  <c r="M32" i="25"/>
  <c r="F19" i="50"/>
  <c r="K19" i="34"/>
  <c r="H19" i="73"/>
  <c r="H85" i="64"/>
  <c r="M19" i="60"/>
  <c r="M19" i="53"/>
  <c r="C24" i="40"/>
  <c r="H111" i="54"/>
  <c r="H19" i="55"/>
  <c r="F19" i="66"/>
  <c r="K85" i="64"/>
  <c r="H23" i="17"/>
  <c r="K30" i="49"/>
  <c r="H32" i="25"/>
  <c r="H19" i="63"/>
  <c r="F90" i="72"/>
  <c r="M63" i="66"/>
  <c r="C19" i="69"/>
  <c r="C75" i="41"/>
  <c r="F100" i="34"/>
  <c r="C19" i="55"/>
  <c r="M19" i="3"/>
  <c r="F19" i="72"/>
  <c r="M72" i="59"/>
  <c r="C29" i="51"/>
  <c r="M19" i="68"/>
  <c r="M407" i="17"/>
  <c r="F19" i="63"/>
  <c r="C19" i="3"/>
  <c r="M24" i="40"/>
  <c r="M19" i="75"/>
  <c r="H32" i="31"/>
  <c r="C19" i="61"/>
  <c r="K119" i="7"/>
  <c r="H119" i="7"/>
  <c r="U400" i="38" l="1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400" i="38" l="1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398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Q9" i="74" l="1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1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2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3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4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5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6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7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8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9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0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1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2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3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4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5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6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7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8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7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0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1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8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8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9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0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1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4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5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7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8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0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1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2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3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4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5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6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7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8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9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<sst xmlns="http://schemas.openxmlformats.org/spreadsheetml/2006/main" count="5580" uniqueCount="783">
  <si>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</si>
  <si>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</si>
  <si>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</si>
  <si>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</si>
  <si>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</si>
  <si>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</si>
  <si>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</si>
  <si>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</si>
  <si>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</si>
  <si>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</si>
  <si>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</si>
  <si>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</si>
  <si>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</si>
  <si>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</si>
  <si>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</si>
  <si>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</si>
  <si>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</si>
  <si>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</si>
  <si>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</si>
  <si>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</si>
  <si>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</si>
  <si>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</si>
  <si>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</si>
  <si>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</si>
  <si>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</si>
  <si>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</si>
  <si>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</si>
  <si>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</si>
  <si>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</si>
  <si>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</si>
  <si>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</si>
  <si>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</si>
  <si>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</si>
  <si>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</si>
  <si>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</si>
  <si>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</si>
  <si>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</si>
  <si>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</si>
  <si>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</si>
  <si>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</si>
  <si>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</si>
  <si>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</si>
  <si>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</si>
  <si>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</si>
  <si>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</si>
  <si>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</si>
  <si>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</si>
  <si>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</si>
  <si>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</si>
  <si>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</si>
  <si>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</si>
  <si>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</si>
  <si>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</si>
  <si>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</si>
  <si>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</si>
  <si>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</si>
  <si>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</si>
  <si>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</si>
  <si>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</si>
  <si>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</si>
  <si>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</si>
  <si>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</si>
  <si>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</si>
  <si>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</si>
  <si>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</si>
  <si>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</si>
  <si>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</si>
  <si>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</si>
  <si>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</si>
  <si>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</si>
  <si>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</si>
  <si>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</si>
  <si>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</si>
  <si>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</si>
  <si>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</si>
  <si>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</si>
  <si>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</si>
  <si>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</si>
  <si>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</si>
  <si>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</si>
  <si>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</si>
  <si>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</si>
  <si>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</si>
  <si>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</si>
  <si>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</si>
  <si>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</si>
  <si>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</si>
  <si>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</si>
  <si>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</si>
  <si>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</si>
  <si>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</si>
  <si>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</si>
  <si>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</si>
  <si>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</si>
  <si>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</si>
  <si>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</si>
  <si>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</si>
  <si>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</si>
  <si>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</si>
  <si>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</si>
  <si>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</si>
  <si>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</si>
  <si>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</si>
  <si>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</si>
  <si>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</si>
  <si>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</si>
  <si>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</si>
  <si>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</si>
  <si>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</si>
  <si>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</si>
  <si>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</si>
  <si>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</si>
  <si>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</si>
  <si>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</si>
  <si>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</si>
  <si>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</si>
  <si>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</si>
  <si>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</si>
  <si>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</si>
  <si>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</si>
  <si>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</si>
  <si>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</si>
  <si>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</si>
  <si>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</si>
  <si>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</si>
  <si>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</si>
  <si>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</si>
  <si>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</si>
  <si>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</si>
  <si>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</si>
  <si>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</si>
  <si>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</si>
  <si>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</si>
  <si>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</si>
  <si>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</si>
  <si>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</si>
  <si>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</si>
  <si>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</si>
  <si>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</si>
  <si>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</si>
  <si>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</si>
  <si>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</si>
  <si>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</si>
  <si>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</si>
  <si>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</si>
  <si>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</si>
  <si>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</si>
  <si>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</si>
  <si>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</si>
  <si>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</si>
  <si>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</si>
  <si>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</si>
  <si>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</si>
  <si>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</si>
  <si>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</si>
  <si>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</si>
  <si>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</si>
  <si>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</si>
  <si>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</si>
  <si>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</si>
  <si>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</si>
  <si>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</si>
  <si>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</si>
  <si>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</si>
  <si>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</si>
  <si>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</si>
  <si>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</si>
  <si>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</si>
  <si>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</si>
  <si>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</si>
  <si>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</si>
  <si>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</si>
  <si>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</si>
  <si>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</si>
  <si>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</si>
  <si>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</si>
  <si>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</si>
  <si>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</si>
  <si>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</si>
  <si>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</si>
  <si>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</si>
  <si>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</si>
  <si>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</si>
  <si>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</si>
  <si>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</si>
  <si>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</si>
  <si>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</si>
  <si>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</si>
  <si>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</si>
  <si>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</si>
  <si>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</si>
  <si>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</si>
  <si>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</si>
  <si>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</si>
  <si>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</si>
  <si>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</si>
  <si>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</si>
  <si>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</si>
  <si>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</si>
  <si>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</si>
  <si>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</si>
  <si>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</si>
  <si>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</si>
  <si>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</si>
  <si>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</si>
  <si>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</si>
  <si>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</si>
  <si>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</si>
  <si>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</si>
  <si>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</si>
  <si>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</si>
  <si>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</si>
  <si>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</si>
  <si>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</si>
  <si>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</si>
  <si>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</si>
  <si>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</si>
  <si>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</si>
  <si>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</si>
  <si>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</si>
  <si>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</si>
  <si>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</si>
  <si>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</si>
  <si>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</si>
  <si>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</si>
  <si>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</si>
  <si>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</si>
  <si>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</si>
  <si>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</si>
  <si>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</si>
  <si>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</si>
  <si>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</si>
  <si>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</si>
  <si>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</si>
  <si>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</si>
  <si>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</si>
  <si>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</si>
  <si>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</si>
  <si>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</si>
  <si>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</si>
  <si>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</si>
  <si>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</si>
  <si>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</si>
  <si>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</si>
  <si>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</si>
  <si>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</si>
  <si>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</si>
  <si>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</si>
  <si>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</si>
  <si>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</si>
  <si>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</si>
  <si>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</si>
  <si>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</si>
  <si>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</si>
  <si>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</si>
  <si>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</si>
  <si>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</si>
  <si>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</si>
  <si>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</si>
  <si>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</si>
  <si>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</si>
  <si>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</si>
  <si>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</si>
  <si>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</si>
  <si>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</si>
  <si>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</si>
  <si>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</si>
  <si>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</si>
  <si>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</si>
  <si>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</si>
  <si>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</si>
  <si>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</si>
  <si>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</si>
  <si>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</si>
  <si>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</si>
  <si>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</si>
  <si>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</si>
  <si>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</si>
  <si>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</si>
  <si>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</si>
  <si>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</si>
  <si>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</si>
  <si>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</si>
  <si>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</si>
  <si>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</si>
  <si>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</si>
  <si>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</si>
  <si>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</si>
  <si>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</si>
  <si>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</si>
  <si>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</si>
  <si>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</si>
  <si>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</si>
  <si>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</si>
  <si>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</si>
  <si>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</si>
  <si>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</si>
  <si>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</si>
  <si>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</si>
  <si>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</si>
  <si>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</si>
  <si>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</si>
  <si>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</si>
  <si>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</si>
  <si>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</si>
  <si>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</si>
  <si>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</si>
  <si>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</si>
  <si>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</si>
  <si>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</si>
  <si>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</si>
  <si>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</si>
  <si>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</si>
  <si>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</si>
  <si>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</si>
  <si>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</si>
  <si>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</si>
  <si>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</si>
  <si>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</si>
  <si>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</si>
  <si>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</si>
  <si>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</si>
  <si>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</si>
  <si>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</si>
  <si>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</si>
  <si>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</si>
  <si>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</si>
  <si>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</si>
  <si>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</si>
  <si>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</si>
  <si>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</si>
  <si>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</si>
  <si>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</si>
  <si>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</si>
  <si>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</si>
  <si>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</si>
  <si>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</si>
  <si>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</si>
  <si>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</si>
  <si>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</si>
  <si>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</si>
  <si>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</si>
  <si>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</si>
  <si>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</si>
  <si>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</si>
  <si>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</si>
  <si>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</si>
  <si>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</si>
  <si>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</si>
  <si>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</si>
  <si>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</si>
  <si>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</si>
  <si>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</si>
  <si>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</si>
  <si>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</si>
  <si>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</si>
  <si>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</si>
  <si>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</si>
  <si>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</si>
  <si>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</si>
  <si>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</si>
  <si>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</si>
  <si>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</si>
  <si>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</si>
  <si>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</si>
  <si>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</si>
  <si>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</si>
  <si>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</si>
  <si>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</si>
  <si>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</si>
  <si>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</si>
  <si>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</si>
  <si>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</si>
  <si>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</si>
  <si>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</si>
  <si>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</si>
  <si>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</si>
  <si>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</si>
  <si>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</si>
  <si>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</si>
  <si>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</si>
  <si>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</si>
  <si>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</si>
  <si>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</si>
  <si>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</si>
  <si>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</si>
  <si>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</si>
  <si>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</si>
  <si>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</si>
  <si>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</si>
  <si>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</si>
  <si>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</si>
  <si>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</si>
  <si>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</si>
  <si>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</si>
  <si>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</si>
  <si>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</si>
  <si>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</si>
  <si>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</si>
  <si>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</si>
  <si>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</si>
  <si>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</si>
  <si>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</si>
  <si>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</si>
  <si>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</si>
  <si>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</si>
  <si>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</si>
  <si>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</si>
  <si>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</si>
  <si>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</si>
  <si>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</si>
  <si>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</si>
  <si>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</si>
  <si>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</si>
  <si>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</si>
  <si>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</si>
  <si>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</si>
  <si>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</si>
  <si>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</si>
  <si>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</si>
  <si>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</si>
  <si>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</si>
  <si>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</si>
  <si>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</si>
  <si>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</si>
  <si>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</si>
  <si>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</si>
  <si>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</si>
  <si>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</si>
  <si>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</si>
  <si>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</si>
  <si>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</si>
  <si>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</si>
  <si>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</si>
  <si>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</si>
  <si>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</si>
  <si>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</si>
  <si>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</si>
  <si>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</si>
  <si>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</si>
  <si>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</si>
  <si>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</si>
  <si>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</si>
  <si>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</si>
  <si>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</si>
  <si>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</si>
  <si>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</si>
  <si>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</si>
  <si>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</si>
  <si>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</si>
  <si>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</si>
  <si>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</si>
  <si>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</si>
  <si>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</si>
  <si>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</si>
  <si>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</si>
  <si>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</si>
  <si>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</si>
  <si>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</si>
  <si>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</si>
  <si>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</si>
  <si>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</si>
  <si>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</si>
  <si>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</si>
  <si>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</si>
  <si>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</si>
  <si>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</si>
  <si>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</si>
  <si>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</si>
  <si>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</si>
  <si>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</si>
  <si>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</si>
  <si>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</si>
  <si>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</si>
  <si>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</si>
  <si>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</si>
  <si>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</si>
  <si>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</si>
  <si>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</si>
  <si>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</si>
  <si>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</si>
  <si>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</si>
  <si>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</si>
  <si>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</si>
  <si>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</si>
  <si>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</si>
  <si>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</si>
  <si>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</si>
  <si>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</si>
  <si>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</si>
  <si>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</si>
  <si>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</si>
  <si>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</si>
  <si>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</si>
  <si>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</si>
  <si>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</si>
  <si>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</si>
  <si>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</si>
  <si>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</si>
  <si>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</si>
  <si>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</si>
  <si>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</si>
  <si>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</si>
  <si>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</si>
  <si>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</si>
  <si>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</si>
  <si>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</si>
  <si>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</si>
  <si>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</si>
  <si>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</si>
  <si>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</si>
  <si>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</si>
  <si>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</si>
  <si>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</si>
  <si>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</si>
  <si>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</si>
  <si>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</si>
  <si>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</si>
  <si>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</si>
  <si>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</si>
  <si>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</si>
  <si>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</si>
  <si>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</si>
  <si>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</si>
  <si>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</si>
  <si>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</si>
  <si>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</si>
  <si>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</si>
  <si>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</si>
  <si>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</si>
  <si>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</si>
  <si>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</si>
  <si>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</si>
  <si>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</si>
  <si>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</si>
  <si>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</si>
  <si>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</si>
  <si>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</si>
  <si>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</si>
  <si>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</si>
  <si>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</si>
  <si>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</si>
  <si>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</si>
  <si>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</si>
  <si>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</si>
  <si>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</si>
  <si>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</si>
  <si>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</si>
  <si>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</si>
  <si>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</si>
  <si>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</si>
  <si>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</si>
  <si>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</si>
  <si>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</si>
  <si>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</si>
  <si>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</si>
  <si>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</si>
  <si>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</si>
  <si>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</si>
  <si>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</si>
  <si>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</si>
  <si>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</si>
  <si>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</si>
  <si>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</si>
  <si>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</si>
  <si>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</si>
  <si>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</si>
  <si>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</si>
  <si>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</si>
  <si>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</si>
  <si>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</si>
  <si>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</si>
  <si>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</si>
  <si>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</si>
  <si>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</si>
  <si>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</si>
  <si>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</si>
  <si>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</si>
  <si>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</si>
  <si>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</si>
  <si>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</si>
  <si>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</si>
  <si>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</si>
  <si>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</si>
  <si>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</si>
  <si>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</si>
  <si>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</si>
  <si>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</si>
  <si>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</si>
  <si>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</si>
  <si>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</si>
  <si>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</si>
  <si>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</si>
  <si>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</si>
  <si>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</si>
  <si>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</si>
  <si>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</si>
  <si>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</si>
  <si>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</si>
  <si>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</si>
  <si>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</si>
  <si>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</si>
  <si>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</si>
  <si>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</si>
  <si>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0.20 (1.27%)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</si>
  <si>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</si>
  <si>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</si>
  <si>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</si>
  <si>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</si>
  <si>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</si>
  <si>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</si>
  <si>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</si>
  <si>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</si>
  <si>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</si>
  <si>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</si>
  <si>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</si>
  <si>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</si>
  <si>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</si>
  <si>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</si>
  <si>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</si>
  <si>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</si>
  <si>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</si>
  <si>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</si>
  <si>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</si>
  <si>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</si>
  <si>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</si>
  <si>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</si>
  <si>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</si>
  <si>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</si>
  <si>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</si>
  <si>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</si>
  <si>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</si>
  <si>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</si>
  <si>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</si>
  <si>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</si>
  <si>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</si>
  <si>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</si>
  <si>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</si>
  <si>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</si>
  <si>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</si>
  <si>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</si>
  <si>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</si>
  <si>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</si>
  <si>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</si>
  <si>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</si>
  <si>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</si>
  <si>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</si>
  <si>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</si>
  <si>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</si>
  <si>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</si>
  <si>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</si>
  <si>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</si>
  <si>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</si>
  <si>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</si>
  <si>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</si>
  <si>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</si>
  <si>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</si>
  <si>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</si>
  <si>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</si>
  <si>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</si>
  <si>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</si>
  <si>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</si>
  <si>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</si>
  <si>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</si>
  <si>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</si>
  <si>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</si>
  <si>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</si>
  <si>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</si>
  <si>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</si>
  <si>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</si>
  <si>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</si>
  <si>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15.95 - 16.64</t>
  </si>
  <si>
    <t>10.78 - 19.28</t>
  </si>
  <si>
    <t>13.54B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</si>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</sst>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17"/>
      <tableStyleElement type="headerRow" dxfId="1316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70424"/>
        <c:axId val="510571600"/>
      </c:scatterChart>
      <c:valAx>
        <c:axId val="5105704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71600"/>
        <c:crosses val="autoZero"/>
        <c:crossBetween val="midCat"/>
      </c:valAx>
      <c:valAx>
        <c:axId val="510571600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70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72384"/>
        <c:axId val="510572776"/>
      </c:scatterChart>
      <c:valAx>
        <c:axId val="51057238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72776"/>
        <c:crosses val="autoZero"/>
        <c:crossBetween val="midCat"/>
      </c:valAx>
      <c:valAx>
        <c:axId val="51057277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7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75128"/>
        <c:axId val="510575520"/>
      </c:scatterChart>
      <c:valAx>
        <c:axId val="51057512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75520"/>
        <c:crosses val="autoZero"/>
        <c:crossBetween val="midCat"/>
      </c:valAx>
      <c:valAx>
        <c:axId val="5105755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75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76304"/>
        <c:axId val="510576696"/>
      </c:scatterChart>
      <c:valAx>
        <c:axId val="5105763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76696"/>
        <c:crosses val="autoZero"/>
        <c:crossBetween val="midCat"/>
      </c:valAx>
      <c:valAx>
        <c:axId val="5105766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7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77872"/>
        <c:axId val="510578264"/>
      </c:scatterChart>
      <c:valAx>
        <c:axId val="5105778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78264"/>
        <c:crosses val="autoZero"/>
        <c:crossBetween val="midCat"/>
      </c:valAx>
      <c:valAx>
        <c:axId val="510578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77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79048"/>
        <c:axId val="510579440"/>
      </c:scatterChart>
      <c:valAx>
        <c:axId val="51057904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79440"/>
        <c:crosses val="autoZero"/>
        <c:crossBetween val="midCat"/>
      </c:valAx>
      <c:valAx>
        <c:axId val="51057944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79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74736"/>
        <c:axId val="510574344"/>
      </c:scatterChart>
      <c:valAx>
        <c:axId val="5105747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74344"/>
        <c:crosses val="autoZero"/>
        <c:crossBetween val="midCat"/>
      </c:valAx>
      <c:valAx>
        <c:axId val="510574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747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77480"/>
        <c:axId val="510581008"/>
      </c:lineChart>
      <c:dateAx>
        <c:axId val="510577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81008"/>
        <c:crosses val="autoZero"/>
        <c:auto val="1"/>
        <c:lblOffset val="100"/>
        <c:baseTimeUnit val="days"/>
      </c:dateAx>
      <c:valAx>
        <c:axId val="51058100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7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82968"/>
        <c:axId val="657149392"/>
      </c:lineChart>
      <c:dateAx>
        <c:axId val="510582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9392"/>
        <c:crosses val="autoZero"/>
        <c:auto val="1"/>
        <c:lblOffset val="100"/>
        <c:baseTimeUnit val="days"/>
      </c:dateAx>
      <c:valAx>
        <c:axId val="6571493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8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151352"/>
        <c:axId val="657151744"/>
      </c:lineChart>
      <c:dateAx>
        <c:axId val="657151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51744"/>
        <c:crosses val="autoZero"/>
        <c:auto val="1"/>
        <c:lblOffset val="100"/>
        <c:baseTimeUnit val="days"/>
      </c:dateAx>
      <c:valAx>
        <c:axId val="6571517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5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153704"/>
        <c:axId val="657154096"/>
      </c:lineChart>
      <c:dateAx>
        <c:axId val="657153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54096"/>
        <c:crosses val="autoZero"/>
        <c:auto val="1"/>
        <c:lblOffset val="100"/>
        <c:baseTimeUnit val="days"/>
      </c:dateAx>
      <c:valAx>
        <c:axId val="6571540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5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156056"/>
        <c:axId val="657156448"/>
      </c:lineChart>
      <c:dateAx>
        <c:axId val="657156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56448"/>
        <c:crosses val="autoZero"/>
        <c:auto val="1"/>
        <c:lblOffset val="100"/>
        <c:baseTimeUnit val="days"/>
      </c:dateAx>
      <c:valAx>
        <c:axId val="6571564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5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158408"/>
        <c:axId val="657158800"/>
      </c:lineChart>
      <c:dateAx>
        <c:axId val="657158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58800"/>
        <c:crosses val="autoZero"/>
        <c:auto val="1"/>
        <c:lblOffset val="100"/>
        <c:baseTimeUnit val="days"/>
      </c:dateAx>
      <c:valAx>
        <c:axId val="6571588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5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160760"/>
        <c:axId val="657161152"/>
      </c:lineChart>
      <c:dateAx>
        <c:axId val="657160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61152"/>
        <c:crosses val="autoZero"/>
        <c:auto val="1"/>
        <c:lblOffset val="100"/>
        <c:baseTimeUnit val="days"/>
      </c:dateAx>
      <c:valAx>
        <c:axId val="65716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6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163112"/>
        <c:axId val="657163504"/>
      </c:lineChart>
      <c:dateAx>
        <c:axId val="657163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63504"/>
        <c:crosses val="autoZero"/>
        <c:auto val="1"/>
        <c:lblOffset val="100"/>
        <c:baseTimeUnit val="days"/>
      </c:dateAx>
      <c:valAx>
        <c:axId val="6571635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6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255016"/>
        <c:axId val="658255408"/>
      </c:lineChart>
      <c:dateAx>
        <c:axId val="658255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55408"/>
        <c:crosses val="autoZero"/>
        <c:auto val="1"/>
        <c:lblOffset val="100"/>
        <c:baseTimeUnit val="days"/>
      </c:dateAx>
      <c:valAx>
        <c:axId val="658255408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5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257368"/>
        <c:axId val="658257760"/>
      </c:lineChart>
      <c:dateAx>
        <c:axId val="658257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57760"/>
        <c:crosses val="autoZero"/>
        <c:auto val="1"/>
        <c:lblOffset val="100"/>
        <c:baseTimeUnit val="days"/>
      </c:dateAx>
      <c:valAx>
        <c:axId val="65825776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5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259720"/>
        <c:axId val="658260112"/>
      </c:lineChart>
      <c:dateAx>
        <c:axId val="658259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60112"/>
        <c:crosses val="autoZero"/>
        <c:auto val="1"/>
        <c:lblOffset val="100"/>
        <c:baseTimeUnit val="days"/>
      </c:dateAx>
      <c:valAx>
        <c:axId val="6582601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5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262072"/>
        <c:axId val="658262464"/>
      </c:lineChart>
      <c:dateAx>
        <c:axId val="658262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62464"/>
        <c:crosses val="autoZero"/>
        <c:auto val="1"/>
        <c:lblOffset val="100"/>
        <c:baseTimeUnit val="days"/>
      </c:dateAx>
      <c:valAx>
        <c:axId val="6582624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6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264424"/>
        <c:axId val="658264816"/>
      </c:lineChart>
      <c:dateAx>
        <c:axId val="658264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64816"/>
        <c:crosses val="autoZero"/>
        <c:auto val="1"/>
        <c:lblOffset val="100"/>
        <c:baseTimeUnit val="days"/>
      </c:dateAx>
      <c:valAx>
        <c:axId val="6582648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6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266384"/>
        <c:axId val="658266776"/>
      </c:lineChart>
      <c:catAx>
        <c:axId val="658266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66776"/>
        <c:crosses val="autoZero"/>
        <c:auto val="1"/>
        <c:lblAlgn val="ctr"/>
        <c:lblOffset val="100"/>
        <c:noMultiLvlLbl val="0"/>
      </c:catAx>
      <c:valAx>
        <c:axId val="6582667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6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268736"/>
        <c:axId val="658269128"/>
      </c:lineChart>
      <c:dateAx>
        <c:axId val="658268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69128"/>
        <c:crosses val="autoZero"/>
        <c:auto val="1"/>
        <c:lblOffset val="100"/>
        <c:baseTimeUnit val="days"/>
      </c:dateAx>
      <c:valAx>
        <c:axId val="6582691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6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16.14</c:v>
                </c:pt>
                <c:pt idx="2">
                  <c:v>15.82</c:v>
                </c:pt>
                <c:pt idx="3">
                  <c:v>15.8</c:v>
                </c:pt>
                <c:pt idx="4">
                  <c:v>15.85</c:v>
                </c:pt>
                <c:pt idx="5">
                  <c:v>15.85</c:v>
                </c:pt>
                <c:pt idx="6">
                  <c:v>15.23</c:v>
                </c:pt>
                <c:pt idx="7">
                  <c:v>14.75</c:v>
                </c:pt>
                <c:pt idx="8">
                  <c:v>14.61</c:v>
                </c:pt>
                <c:pt idx="9">
                  <c:v>14.68</c:v>
                </c:pt>
                <c:pt idx="10">
                  <c:v>15.02</c:v>
                </c:pt>
                <c:pt idx="11">
                  <c:v>15.05</c:v>
                </c:pt>
                <c:pt idx="12">
                  <c:v>15.48</c:v>
                </c:pt>
                <c:pt idx="13">
                  <c:v>15.46</c:v>
                </c:pt>
                <c:pt idx="14">
                  <c:v>15.55</c:v>
                </c:pt>
                <c:pt idx="15">
                  <c:v>15.56</c:v>
                </c:pt>
                <c:pt idx="16">
                  <c:v>15.32</c:v>
                </c:pt>
                <c:pt idx="17">
                  <c:v>15.84</c:v>
                </c:pt>
                <c:pt idx="18">
                  <c:v>16.16</c:v>
                </c:pt>
                <c:pt idx="19">
                  <c:v>16.07</c:v>
                </c:pt>
                <c:pt idx="20">
                  <c:v>14.87</c:v>
                </c:pt>
                <c:pt idx="21">
                  <c:v>16.28</c:v>
                </c:pt>
                <c:pt idx="22">
                  <c:v>16.47</c:v>
                </c:pt>
                <c:pt idx="23">
                  <c:v>16.18</c:v>
                </c:pt>
                <c:pt idx="24">
                  <c:v>16.14</c:v>
                </c:pt>
                <c:pt idx="25">
                  <c:v>16.45</c:v>
                </c:pt>
                <c:pt idx="26">
                  <c:v>16</c:v>
                </c:pt>
                <c:pt idx="27">
                  <c:v>15.85</c:v>
                </c:pt>
                <c:pt idx="28">
                  <c:v>15.73</c:v>
                </c:pt>
                <c:pt idx="29">
                  <c:v>15.98</c:v>
                </c:pt>
                <c:pt idx="30">
                  <c:v>15.76</c:v>
                </c:pt>
                <c:pt idx="31">
                  <c:v>16.38</c:v>
                </c:pt>
                <c:pt idx="32">
                  <c:v>16.23</c:v>
                </c:pt>
                <c:pt idx="33">
                  <c:v>16.170000000000002</c:v>
                </c:pt>
                <c:pt idx="34">
                  <c:v>16.3</c:v>
                </c:pt>
                <c:pt idx="35">
                  <c:v>16.41</c:v>
                </c:pt>
                <c:pt idx="36">
                  <c:v>16.059999999999999</c:v>
                </c:pt>
                <c:pt idx="38">
                  <c:v>16.190000000000001</c:v>
                </c:pt>
                <c:pt idx="39">
                  <c:v>16.05</c:v>
                </c:pt>
                <c:pt idx="40">
                  <c:v>15.88</c:v>
                </c:pt>
                <c:pt idx="41">
                  <c:v>16.03</c:v>
                </c:pt>
                <c:pt idx="42">
                  <c:v>16.52</c:v>
                </c:pt>
                <c:pt idx="43">
                  <c:v>17.23</c:v>
                </c:pt>
                <c:pt idx="44">
                  <c:v>16.68</c:v>
                </c:pt>
                <c:pt idx="45">
                  <c:v>16.59</c:v>
                </c:pt>
                <c:pt idx="46">
                  <c:v>16.75</c:v>
                </c:pt>
                <c:pt idx="47">
                  <c:v>16.53</c:v>
                </c:pt>
                <c:pt idx="48">
                  <c:v>17.41</c:v>
                </c:pt>
                <c:pt idx="49">
                  <c:v>17.75</c:v>
                </c:pt>
                <c:pt idx="50">
                  <c:v>17.75</c:v>
                </c:pt>
                <c:pt idx="51">
                  <c:v>17.7</c:v>
                </c:pt>
                <c:pt idx="52">
                  <c:v>17.420000000000002</c:v>
                </c:pt>
                <c:pt idx="53">
                  <c:v>17.61</c:v>
                </c:pt>
                <c:pt idx="54">
                  <c:v>17.27</c:v>
                </c:pt>
                <c:pt idx="55">
                  <c:v>17.329999999999998</c:v>
                </c:pt>
                <c:pt idx="56">
                  <c:v>17.440000000000001</c:v>
                </c:pt>
                <c:pt idx="57">
                  <c:v>17.45</c:v>
                </c:pt>
                <c:pt idx="58">
                  <c:v>17.440000000000001</c:v>
                </c:pt>
                <c:pt idx="59">
                  <c:v>17.690000000000001</c:v>
                </c:pt>
                <c:pt idx="60">
                  <c:v>17.48</c:v>
                </c:pt>
                <c:pt idx="61">
                  <c:v>17.399999999999999</c:v>
                </c:pt>
                <c:pt idx="62">
                  <c:v>17.88</c:v>
                </c:pt>
                <c:pt idx="63">
                  <c:v>18.18</c:v>
                </c:pt>
                <c:pt idx="64">
                  <c:v>18.05</c:v>
                </c:pt>
                <c:pt idx="65">
                  <c:v>17.760000000000002</c:v>
                </c:pt>
                <c:pt idx="66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276560"/>
        <c:axId val="669276952"/>
      </c:lineChart>
      <c:dateAx>
        <c:axId val="6692765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76952"/>
        <c:crosses val="autoZero"/>
        <c:auto val="1"/>
        <c:lblOffset val="100"/>
        <c:baseTimeUnit val="days"/>
      </c:dateAx>
      <c:valAx>
        <c:axId val="6692769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7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278520"/>
        <c:axId val="669278912"/>
      </c:lineChart>
      <c:dateAx>
        <c:axId val="66927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78912"/>
        <c:crosses val="autoZero"/>
        <c:auto val="1"/>
        <c:lblOffset val="100"/>
        <c:baseTimeUnit val="days"/>
      </c:dateAx>
      <c:valAx>
        <c:axId val="6692789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7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280872"/>
        <c:axId val="669281264"/>
      </c:lineChart>
      <c:catAx>
        <c:axId val="669280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81264"/>
        <c:crosses val="autoZero"/>
        <c:auto val="1"/>
        <c:lblAlgn val="ctr"/>
        <c:lblOffset val="100"/>
        <c:noMultiLvlLbl val="1"/>
      </c:catAx>
      <c:valAx>
        <c:axId val="66928126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8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283224"/>
        <c:axId val="669283616"/>
      </c:lineChart>
      <c:dateAx>
        <c:axId val="669283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83616"/>
        <c:crosses val="autoZero"/>
        <c:auto val="1"/>
        <c:lblOffset val="100"/>
        <c:baseTimeUnit val="days"/>
      </c:dateAx>
      <c:valAx>
        <c:axId val="66928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8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285576"/>
        <c:axId val="669285968"/>
      </c:lineChart>
      <c:dateAx>
        <c:axId val="669285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85968"/>
        <c:crosses val="autoZero"/>
        <c:auto val="1"/>
        <c:lblOffset val="100"/>
        <c:baseTimeUnit val="days"/>
      </c:dateAx>
      <c:valAx>
        <c:axId val="66928596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8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287928"/>
        <c:axId val="669288320"/>
      </c:lineChart>
      <c:dateAx>
        <c:axId val="66928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88320"/>
        <c:crosses val="autoZero"/>
        <c:auto val="1"/>
        <c:lblOffset val="100"/>
        <c:baseTimeUnit val="days"/>
      </c:dateAx>
      <c:valAx>
        <c:axId val="6692883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8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290280"/>
        <c:axId val="669290672"/>
      </c:lineChart>
      <c:dateAx>
        <c:axId val="669290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90672"/>
        <c:crosses val="autoZero"/>
        <c:auto val="1"/>
        <c:lblOffset val="100"/>
        <c:baseTimeUnit val="days"/>
      </c:dateAx>
      <c:valAx>
        <c:axId val="6692906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9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73392"/>
        <c:axId val="689073784"/>
      </c:lineChart>
      <c:dateAx>
        <c:axId val="689073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73784"/>
        <c:crosses val="autoZero"/>
        <c:auto val="1"/>
        <c:lblOffset val="100"/>
        <c:baseTimeUnit val="days"/>
      </c:dateAx>
      <c:valAx>
        <c:axId val="689073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7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75744"/>
        <c:axId val="689076136"/>
      </c:lineChart>
      <c:catAx>
        <c:axId val="689075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76136"/>
        <c:crosses val="autoZero"/>
        <c:auto val="1"/>
        <c:lblAlgn val="ctr"/>
        <c:lblOffset val="100"/>
        <c:noMultiLvlLbl val="0"/>
      </c:catAx>
      <c:valAx>
        <c:axId val="689076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7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78096"/>
        <c:axId val="689078488"/>
      </c:lineChart>
      <c:dateAx>
        <c:axId val="689078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78488"/>
        <c:crosses val="autoZero"/>
        <c:auto val="1"/>
        <c:lblOffset val="100"/>
        <c:baseTimeUnit val="days"/>
      </c:dateAx>
      <c:valAx>
        <c:axId val="68907848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7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80448"/>
        <c:axId val="689080840"/>
      </c:lineChart>
      <c:dateAx>
        <c:axId val="689080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0840"/>
        <c:crosses val="autoZero"/>
        <c:auto val="1"/>
        <c:lblOffset val="100"/>
        <c:baseTimeUnit val="days"/>
      </c:dateAx>
      <c:valAx>
        <c:axId val="6890808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82800"/>
        <c:axId val="689083192"/>
      </c:lineChart>
      <c:catAx>
        <c:axId val="689082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3192"/>
        <c:crosses val="autoZero"/>
        <c:auto val="1"/>
        <c:lblAlgn val="ctr"/>
        <c:lblOffset val="100"/>
        <c:noMultiLvlLbl val="0"/>
      </c:catAx>
      <c:valAx>
        <c:axId val="6890831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85152"/>
        <c:axId val="689085544"/>
      </c:lineChart>
      <c:dateAx>
        <c:axId val="689085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544"/>
        <c:crosses val="autoZero"/>
        <c:auto val="1"/>
        <c:lblOffset val="100"/>
        <c:baseTimeUnit val="days"/>
      </c:dateAx>
      <c:valAx>
        <c:axId val="6890855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87504"/>
        <c:axId val="689087896"/>
      </c:lineChart>
      <c:catAx>
        <c:axId val="689087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7896"/>
        <c:crosses val="autoZero"/>
        <c:auto val="1"/>
        <c:lblAlgn val="ctr"/>
        <c:lblOffset val="100"/>
        <c:noMultiLvlLbl val="0"/>
      </c:catAx>
      <c:valAx>
        <c:axId val="689087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067984"/>
        <c:axId val="699068376"/>
      </c:lineChart>
      <c:dateAx>
        <c:axId val="699067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068376"/>
        <c:crosses val="autoZero"/>
        <c:auto val="1"/>
        <c:lblOffset val="100"/>
        <c:baseTimeUnit val="days"/>
      </c:dateAx>
      <c:valAx>
        <c:axId val="6990683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06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070336"/>
        <c:axId val="699070728"/>
      </c:lineChart>
      <c:dateAx>
        <c:axId val="699070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070728"/>
        <c:crosses val="autoZero"/>
        <c:auto val="1"/>
        <c:lblOffset val="100"/>
        <c:baseTimeUnit val="days"/>
      </c:dateAx>
      <c:valAx>
        <c:axId val="6990707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07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072688"/>
        <c:axId val="699073080"/>
      </c:lineChart>
      <c:dateAx>
        <c:axId val="699072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073080"/>
        <c:crosses val="autoZero"/>
        <c:auto val="1"/>
        <c:lblOffset val="100"/>
        <c:baseTimeUnit val="days"/>
      </c:dateAx>
      <c:valAx>
        <c:axId val="6990730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07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075040"/>
        <c:axId val="699075432"/>
      </c:lineChart>
      <c:dateAx>
        <c:axId val="699075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075432"/>
        <c:crosses val="autoZero"/>
        <c:auto val="1"/>
        <c:lblOffset val="100"/>
        <c:baseTimeUnit val="days"/>
      </c:dateAx>
      <c:valAx>
        <c:axId val="6990754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07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077392"/>
        <c:axId val="699077784"/>
      </c:lineChart>
      <c:dateAx>
        <c:axId val="699077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077784"/>
        <c:crosses val="autoZero"/>
        <c:auto val="1"/>
        <c:lblOffset val="100"/>
        <c:baseTimeUnit val="days"/>
      </c:dateAx>
      <c:valAx>
        <c:axId val="69907778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07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079744"/>
        <c:axId val="699080136"/>
      </c:lineChart>
      <c:dateAx>
        <c:axId val="6990797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080136"/>
        <c:crosses val="autoZero"/>
        <c:auto val="0"/>
        <c:lblOffset val="100"/>
        <c:baseTimeUnit val="days"/>
      </c:dateAx>
      <c:valAx>
        <c:axId val="69908013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079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082096"/>
        <c:axId val="699082488"/>
      </c:lineChart>
      <c:dateAx>
        <c:axId val="699082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082488"/>
        <c:crosses val="autoZero"/>
        <c:auto val="1"/>
        <c:lblOffset val="100"/>
        <c:baseTimeUnit val="days"/>
      </c:dateAx>
      <c:valAx>
        <c:axId val="69908248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08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139296"/>
        <c:axId val="728139688"/>
      </c:lineChart>
      <c:catAx>
        <c:axId val="728139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39688"/>
        <c:crosses val="autoZero"/>
        <c:auto val="1"/>
        <c:lblAlgn val="ctr"/>
        <c:lblOffset val="100"/>
        <c:noMultiLvlLbl val="1"/>
      </c:catAx>
      <c:valAx>
        <c:axId val="72813968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141648"/>
        <c:axId val="728142040"/>
      </c:lineChart>
      <c:dateAx>
        <c:axId val="728141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42040"/>
        <c:crosses val="autoZero"/>
        <c:auto val="1"/>
        <c:lblOffset val="100"/>
        <c:baseTimeUnit val="days"/>
      </c:dateAx>
      <c:valAx>
        <c:axId val="7281420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4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144000"/>
        <c:axId val="728144392"/>
      </c:lineChart>
      <c:dateAx>
        <c:axId val="728144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44392"/>
        <c:crosses val="autoZero"/>
        <c:auto val="1"/>
        <c:lblOffset val="100"/>
        <c:baseTimeUnit val="days"/>
      </c:dateAx>
      <c:valAx>
        <c:axId val="7281443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4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146352"/>
        <c:axId val="728146744"/>
      </c:lineChart>
      <c:dateAx>
        <c:axId val="728146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46744"/>
        <c:crosses val="autoZero"/>
        <c:auto val="1"/>
        <c:lblOffset val="100"/>
        <c:baseTimeUnit val="days"/>
      </c:dateAx>
      <c:valAx>
        <c:axId val="7281467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4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148704"/>
        <c:axId val="728149096"/>
      </c:lineChart>
      <c:catAx>
        <c:axId val="728148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49096"/>
        <c:crosses val="autoZero"/>
        <c:auto val="1"/>
        <c:lblAlgn val="ctr"/>
        <c:lblOffset val="100"/>
        <c:noMultiLvlLbl val="0"/>
      </c:catAx>
      <c:valAx>
        <c:axId val="728149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4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151056"/>
        <c:axId val="728151448"/>
      </c:lineChart>
      <c:catAx>
        <c:axId val="728151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51448"/>
        <c:crosses val="autoZero"/>
        <c:auto val="1"/>
        <c:lblAlgn val="ctr"/>
        <c:lblOffset val="100"/>
        <c:noMultiLvlLbl val="0"/>
      </c:catAx>
      <c:valAx>
        <c:axId val="7281514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5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153408"/>
        <c:axId val="728153800"/>
      </c:lineChart>
      <c:catAx>
        <c:axId val="728153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53800"/>
        <c:crosses val="autoZero"/>
        <c:auto val="1"/>
        <c:lblAlgn val="ctr"/>
        <c:lblOffset val="100"/>
        <c:noMultiLvlLbl val="0"/>
      </c:catAx>
      <c:valAx>
        <c:axId val="7281538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5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993768"/>
        <c:axId val="727994160"/>
      </c:lineChart>
      <c:dateAx>
        <c:axId val="727993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94160"/>
        <c:crosses val="autoZero"/>
        <c:auto val="1"/>
        <c:lblOffset val="100"/>
        <c:baseTimeUnit val="days"/>
      </c:dateAx>
      <c:valAx>
        <c:axId val="7279941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9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996120"/>
        <c:axId val="727996512"/>
      </c:lineChart>
      <c:dateAx>
        <c:axId val="727996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96512"/>
        <c:crosses val="autoZero"/>
        <c:auto val="1"/>
        <c:lblOffset val="100"/>
        <c:baseTimeUnit val="days"/>
      </c:dateAx>
      <c:valAx>
        <c:axId val="72799651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9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998472"/>
        <c:axId val="727998864"/>
      </c:lineChart>
      <c:dateAx>
        <c:axId val="727998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98864"/>
        <c:crosses val="autoZero"/>
        <c:auto val="1"/>
        <c:lblOffset val="100"/>
        <c:baseTimeUnit val="days"/>
      </c:dateAx>
      <c:valAx>
        <c:axId val="72799886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99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00432"/>
        <c:axId val="728000824"/>
      </c:lineChart>
      <c:catAx>
        <c:axId val="728000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00824"/>
        <c:crosses val="autoZero"/>
        <c:auto val="1"/>
        <c:lblAlgn val="ctr"/>
        <c:lblOffset val="100"/>
        <c:noMultiLvlLbl val="1"/>
      </c:catAx>
      <c:valAx>
        <c:axId val="7280008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0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02784"/>
        <c:axId val="728003176"/>
      </c:lineChart>
      <c:dateAx>
        <c:axId val="728002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03176"/>
        <c:crosses val="autoZero"/>
        <c:auto val="1"/>
        <c:lblOffset val="100"/>
        <c:baseTimeUnit val="days"/>
      </c:dateAx>
      <c:valAx>
        <c:axId val="7280031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0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05136"/>
        <c:axId val="728005528"/>
      </c:lineChart>
      <c:dateAx>
        <c:axId val="728005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05528"/>
        <c:crosses val="autoZero"/>
        <c:auto val="1"/>
        <c:lblOffset val="100"/>
        <c:baseTimeUnit val="days"/>
      </c:dateAx>
      <c:valAx>
        <c:axId val="728005528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0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07488"/>
        <c:axId val="728007880"/>
      </c:lineChart>
      <c:catAx>
        <c:axId val="728007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07880"/>
        <c:crosses val="autoZero"/>
        <c:auto val="1"/>
        <c:lblAlgn val="ctr"/>
        <c:lblOffset val="100"/>
        <c:noMultiLvlLbl val="0"/>
      </c:catAx>
      <c:valAx>
        <c:axId val="728007880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0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09840"/>
        <c:axId val="728010232"/>
      </c:lineChart>
      <c:dateAx>
        <c:axId val="72800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10232"/>
        <c:crosses val="autoZero"/>
        <c:auto val="1"/>
        <c:lblOffset val="100"/>
        <c:baseTimeUnit val="days"/>
      </c:dateAx>
      <c:valAx>
        <c:axId val="7280102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0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12192"/>
        <c:axId val="728012584"/>
      </c:lineChart>
      <c:dateAx>
        <c:axId val="728012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12584"/>
        <c:crosses val="autoZero"/>
        <c:auto val="1"/>
        <c:lblOffset val="100"/>
        <c:baseTimeUnit val="days"/>
      </c:dateAx>
      <c:valAx>
        <c:axId val="7280125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1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14544"/>
        <c:axId val="728014936"/>
      </c:lineChart>
      <c:catAx>
        <c:axId val="728014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14936"/>
        <c:crosses val="autoZero"/>
        <c:auto val="1"/>
        <c:lblAlgn val="ctr"/>
        <c:lblOffset val="100"/>
        <c:noMultiLvlLbl val="0"/>
      </c:catAx>
      <c:valAx>
        <c:axId val="7280149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1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16896"/>
        <c:axId val="728017288"/>
      </c:lineChart>
      <c:catAx>
        <c:axId val="728016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17288"/>
        <c:crosses val="autoZero"/>
        <c:auto val="1"/>
        <c:lblAlgn val="ctr"/>
        <c:lblOffset val="100"/>
        <c:noMultiLvlLbl val="0"/>
      </c:catAx>
      <c:valAx>
        <c:axId val="728017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1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19248"/>
        <c:axId val="728019640"/>
      </c:lineChart>
      <c:catAx>
        <c:axId val="728019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19640"/>
        <c:crosses val="autoZero"/>
        <c:auto val="1"/>
        <c:lblAlgn val="ctr"/>
        <c:lblOffset val="100"/>
        <c:noMultiLvlLbl val="0"/>
      </c:catAx>
      <c:valAx>
        <c:axId val="7280196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1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21600"/>
        <c:axId val="728021992"/>
      </c:lineChart>
      <c:dateAx>
        <c:axId val="728021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21992"/>
        <c:crosses val="autoZero"/>
        <c:auto val="1"/>
        <c:lblOffset val="100"/>
        <c:baseTimeUnit val="days"/>
      </c:dateAx>
      <c:valAx>
        <c:axId val="7280219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2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023952"/>
        <c:axId val="728024344"/>
      </c:lineChart>
      <c:dateAx>
        <c:axId val="728023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24344"/>
        <c:crosses val="autoZero"/>
        <c:auto val="1"/>
        <c:lblOffset val="100"/>
        <c:baseTimeUnit val="days"/>
      </c:dateAx>
      <c:valAx>
        <c:axId val="7280243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02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0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8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JNJ" backgroundRefresh="0" connectionId="10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jnj" backgroundRefresh="0" adjustColumnWidth="0" connectionId="10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4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NKE" backgroundRefresh="0" connectionId="1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OS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vgk" backgroundRefresh="0" connectionId="8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backgroundRefresh="0" adjustColumnWidth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IP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NTC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NTC" backgroundRefresh="0" connectionId="2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HES" backgroundRefresh="0" connectionId="8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HES" backgroundRefresh="0" adjustColumnWidt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NP" backgroundRefresh="0" adjustColumnWidth="0" connectionId="1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nclh" backgroundRefresh="0" adjustColumnWidth="0" connectionId="10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PY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7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WKS" backgroundRefresh="0" adjustColumnWidth="0" connectionId="6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FC" backgroundRefresh="0" adjustColumnWidt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F" backgroundRefres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3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AL" backgroundRefresh="0" adjustColumnWidth="0" connectionId="7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LD" backgroundRefres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S" adjustColumnWidth="0" connectionId="7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S_1" backgroundRefresh="0" adjustColumnWidth="0" connectionId="8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M" backgroundRefresh="0" adjustColumnWidth="0" connectionId="3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GM" backgroundRefresh="0" connectionId="3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tmo" backgroundRefresh="0" adjustColumnWidth="0" connectionId="6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NH" backgroundRefresh="0" adjustColumnWidth="0" connectionId="5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2.xml"/><Relationship Id="rId5" Type="http://schemas.openxmlformats.org/officeDocument/2006/relationships/queryTable" Target="../queryTables/queryTable31.xml"/><Relationship Id="rId4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7.xml"/><Relationship Id="rId4" Type="http://schemas.openxmlformats.org/officeDocument/2006/relationships/queryTable" Target="../queryTables/queryTable6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queryTable" Target="../queryTables/queryTable96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queryTable" Target="../queryTables/queryTable98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queryTable" Target="../queryTables/queryTable108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44" activePane="bottomLeft" state="frozen"/>
      <selection pane="bottomLeft" activeCell="I51" sqref="I5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2" ht="21.95" customHeight="1" x14ac:dyDescent="0.25">
      <c r="A2" s="51"/>
      <c r="B2" s="51"/>
      <c r="C2" s="52"/>
      <c r="E2" s="23" t="s">
        <v>10</v>
      </c>
      <c r="F2" s="247">
        <v>31.76</v>
      </c>
      <c r="G2" s="247">
        <v>31.76</v>
      </c>
      <c r="H2" s="335">
        <v>0</v>
      </c>
      <c r="I2" s="49">
        <v>0</v>
      </c>
      <c r="J2" s="373">
        <v>0</v>
      </c>
      <c r="K2" s="359">
        <v>0</v>
      </c>
      <c r="L2" s="373">
        <v>1128.3800000000047</v>
      </c>
      <c r="M2">
        <v>0</v>
      </c>
      <c r="N2" s="370" t="str">
        <f>HYPERLINK("http://finance.yahoo.com/q?s=" &amp; E2, "Link")</f>
        <v>Link</v>
      </c>
      <c r="O2" s="369">
        <v>1.2500000000000001E-2</v>
      </c>
      <c r="P2" s="369">
        <v>1.44E-2</v>
      </c>
    </row>
    <row r="3" spans="1:22" ht="21.95" customHeight="1" x14ac:dyDescent="0.25">
      <c r="A3" s="51"/>
      <c r="B3" s="52"/>
      <c r="C3" s="52"/>
      <c r="E3" s="23" t="s">
        <v>206</v>
      </c>
      <c r="F3" s="247">
        <v>141.19999999999999</v>
      </c>
      <c r="G3" s="247">
        <v>141.19999999999999</v>
      </c>
      <c r="H3" s="335">
        <v>0</v>
      </c>
      <c r="I3" s="49">
        <v>0</v>
      </c>
      <c r="J3" s="373">
        <v>0</v>
      </c>
      <c r="K3" s="359">
        <v>0</v>
      </c>
      <c r="L3" s="373">
        <v>363.09999999999945</v>
      </c>
      <c r="M3">
        <v>0</v>
      </c>
      <c r="N3" s="370" t="str">
        <f>HYPERLINK("http://finance.yahoo.com/q?s=" &amp; E3, "Link")</f>
        <v>Link</v>
      </c>
      <c r="O3" s="369">
        <v>1.5900000000000001E-2</v>
      </c>
      <c r="P3" s="369">
        <v>-4.4000000000000003E-3</v>
      </c>
      <c r="Q3" s="151"/>
      <c r="R3" s="49"/>
    </row>
    <row r="4" spans="1:22" ht="21.95" customHeight="1" x14ac:dyDescent="0.25">
      <c r="A4" s="51"/>
      <c r="B4" s="51"/>
      <c r="C4" s="52"/>
      <c r="E4" s="23" t="s">
        <v>255</v>
      </c>
      <c r="F4" s="247">
        <v>58.95</v>
      </c>
      <c r="G4" s="247">
        <v>58.95</v>
      </c>
      <c r="H4" s="335">
        <v>0</v>
      </c>
      <c r="I4" s="49">
        <v>0</v>
      </c>
      <c r="J4" s="373">
        <v>0</v>
      </c>
      <c r="K4" s="359">
        <v>0</v>
      </c>
      <c r="L4" s="373">
        <v>92.650000000000091</v>
      </c>
      <c r="M4">
        <v>0</v>
      </c>
      <c r="N4" s="370" t="str">
        <f>HYPERLINK("http://finance.yahoo.com/q?s=" &amp; E4, "Link")</f>
        <v>Link</v>
      </c>
      <c r="O4" s="369">
        <v>0</v>
      </c>
      <c r="P4" s="369">
        <v>2.2000000000000001E-3</v>
      </c>
      <c r="Q4" s="151"/>
      <c r="S4" s="49"/>
    </row>
    <row r="5" spans="1:22" ht="21.95" customHeight="1" x14ac:dyDescent="0.25">
      <c r="A5" s="51"/>
      <c r="B5" s="51"/>
      <c r="C5" s="52"/>
      <c r="E5" s="23" t="s">
        <v>45</v>
      </c>
      <c r="F5" s="247">
        <v>80.31</v>
      </c>
      <c r="G5" s="247">
        <v>80.31</v>
      </c>
      <c r="H5" s="335">
        <v>0</v>
      </c>
      <c r="I5" s="49">
        <v>0</v>
      </c>
      <c r="J5" s="373">
        <v>0</v>
      </c>
      <c r="K5" s="359">
        <v>0</v>
      </c>
      <c r="L5" s="373">
        <v>523.61999999999898</v>
      </c>
      <c r="M5">
        <v>0</v>
      </c>
      <c r="N5" s="370" t="str">
        <f>HYPERLINK("http://finance.yahoo.com/q?s=" &amp; E5, "Link")</f>
        <v>Link</v>
      </c>
      <c r="O5" s="369">
        <v>1.67E-2</v>
      </c>
      <c r="P5" s="369">
        <v>-1.46E-2</v>
      </c>
      <c r="Q5" s="49"/>
      <c r="R5" s="49"/>
      <c r="S5" s="49"/>
      <c r="T5" s="49"/>
    </row>
    <row r="6" spans="1:22" ht="21.95" customHeight="1" x14ac:dyDescent="0.25">
      <c r="A6" s="51"/>
      <c r="B6" s="51"/>
      <c r="C6" s="52"/>
      <c r="E6" s="23" t="s">
        <v>345</v>
      </c>
      <c r="F6" s="247">
        <v>21.19</v>
      </c>
      <c r="G6" s="247">
        <v>19.12970000000001</v>
      </c>
      <c r="H6" s="335">
        <v>300</v>
      </c>
      <c r="I6" s="49">
        <v>5738.9100000000035</v>
      </c>
      <c r="J6" s="373">
        <v>618.08999999999651</v>
      </c>
      <c r="K6" s="359">
        <v>0.10770163672195537</v>
      </c>
      <c r="L6" s="373">
        <v>963.06999999999698</v>
      </c>
      <c r="M6" s="30">
        <v>42849</v>
      </c>
      <c r="N6" s="370" t="str">
        <f>HYPERLINK("http://finance.yahoo.com/q?s=" &amp; E6, "Link")</f>
        <v>Link</v>
      </c>
      <c r="O6" s="369">
        <v>0</v>
      </c>
      <c r="P6" s="369">
        <v>-6.3E-3</v>
      </c>
      <c r="Q6" s="446"/>
      <c r="R6" s="49"/>
      <c r="S6" s="49"/>
      <c r="T6" s="49"/>
      <c r="V6" s="49"/>
    </row>
    <row r="7" spans="1:22" ht="21.95" customHeight="1" x14ac:dyDescent="0.25">
      <c r="A7" s="61"/>
      <c r="B7" s="62"/>
      <c r="C7" s="61"/>
      <c r="E7" s="23" t="s">
        <v>782</v>
      </c>
      <c r="F7" s="247">
        <v>25.8</v>
      </c>
      <c r="G7" s="247">
        <v>24.68</v>
      </c>
      <c r="H7" s="335">
        <v>100</v>
      </c>
      <c r="I7" s="49">
        <v>2468</v>
      </c>
      <c r="J7" s="373">
        <v>112</v>
      </c>
      <c r="K7" s="359">
        <v>4.5380875202593235E-2</v>
      </c>
      <c r="L7" s="373">
        <v>112</v>
      </c>
      <c r="M7" s="30">
        <v>42874</v>
      </c>
      <c r="N7" s="370" t="str">
        <f>HYPERLINK("http://finance.yahoo.com/q?s=" &amp; E7, "Link")</f>
        <v>Link</v>
      </c>
      <c r="O7" s="369" t="e">
        <v>#VALUE!</v>
      </c>
      <c r="P7" s="369">
        <v>-3.3300000000000003E-2</v>
      </c>
      <c r="Q7" s="151"/>
      <c r="R7" s="49"/>
      <c r="S7" s="49"/>
      <c r="T7" s="49"/>
    </row>
    <row r="8" spans="1:22" ht="21.95" customHeight="1" x14ac:dyDescent="0.25">
      <c r="A8" s="158"/>
      <c r="B8" s="51"/>
      <c r="C8" s="52"/>
      <c r="E8" s="23" t="s">
        <v>33</v>
      </c>
      <c r="F8" s="247">
        <v>213.1</v>
      </c>
      <c r="G8" s="247">
        <v>213.1</v>
      </c>
      <c r="H8" s="335">
        <v>0</v>
      </c>
      <c r="I8" s="49">
        <v>0</v>
      </c>
      <c r="J8" s="373">
        <v>0</v>
      </c>
      <c r="K8" s="359">
        <v>0</v>
      </c>
      <c r="L8" s="373">
        <v>780.73999999999796</v>
      </c>
      <c r="M8">
        <v>0</v>
      </c>
      <c r="N8" s="370" t="str">
        <f>HYPERLINK("http://finance.yahoo.com/q?s=" &amp; E8, "Link")</f>
        <v>Link</v>
      </c>
      <c r="O8" s="369">
        <v>1.8599999999999998E-2</v>
      </c>
      <c r="P8" s="369">
        <v>-3.5999999999999999E-3</v>
      </c>
      <c r="Q8" s="49"/>
      <c r="R8" s="49"/>
      <c r="S8" s="49"/>
      <c r="T8" s="49"/>
    </row>
    <row r="9" spans="1:22" ht="21.95" customHeight="1" x14ac:dyDescent="0.25">
      <c r="A9" s="51"/>
      <c r="B9" s="51"/>
      <c r="C9" s="52"/>
      <c r="E9" s="23" t="s">
        <v>229</v>
      </c>
      <c r="F9" s="247">
        <v>75.790000000000006</v>
      </c>
      <c r="G9" s="247">
        <v>75.790000000000006</v>
      </c>
      <c r="H9" s="335">
        <v>0</v>
      </c>
      <c r="I9" s="49">
        <v>0</v>
      </c>
      <c r="J9" s="373">
        <v>0</v>
      </c>
      <c r="K9" s="359">
        <v>0</v>
      </c>
      <c r="L9" s="373">
        <v>231.53999999999996</v>
      </c>
      <c r="M9">
        <v>0</v>
      </c>
      <c r="N9" s="370" t="str">
        <f>HYPERLINK("http://finance.yahoo.com/q?s=" &amp; E9, "Link")</f>
        <v>Link</v>
      </c>
      <c r="O9" s="369">
        <v>1.6199999999999999E-2</v>
      </c>
      <c r="P9" s="369">
        <v>-1.15E-2</v>
      </c>
    </row>
    <row r="10" spans="1:22" ht="21.95" customHeight="1" x14ac:dyDescent="0.25">
      <c r="A10" s="52"/>
      <c r="B10" s="52"/>
      <c r="C10" s="52"/>
      <c r="E10" s="23" t="s">
        <v>62</v>
      </c>
      <c r="F10" s="247">
        <v>271.16000000000003</v>
      </c>
      <c r="G10" s="247">
        <v>271.16000000000003</v>
      </c>
      <c r="H10" s="335">
        <v>0</v>
      </c>
      <c r="I10" s="49">
        <v>0</v>
      </c>
      <c r="J10" s="373">
        <v>0</v>
      </c>
      <c r="K10" s="359">
        <v>0</v>
      </c>
      <c r="L10" s="373">
        <v>1659.3600000000079</v>
      </c>
      <c r="M10">
        <v>0</v>
      </c>
      <c r="N10" s="370" t="str">
        <f>HYPERLINK("http://finance.yahoo.com/q?s=" &amp; E10, "Link")</f>
        <v>Link</v>
      </c>
      <c r="O10" s="369">
        <v>0</v>
      </c>
      <c r="P10" s="369">
        <v>-1.0500000000000001E-2</v>
      </c>
      <c r="S10" s="49"/>
    </row>
    <row r="11" spans="1:22" ht="21.95" customHeight="1" x14ac:dyDescent="0.25">
      <c r="A11" s="52"/>
      <c r="B11" s="52"/>
      <c r="C11" s="52"/>
      <c r="E11" s="23" t="s">
        <v>311</v>
      </c>
      <c r="F11" s="247">
        <v>52.93</v>
      </c>
      <c r="G11" s="247">
        <v>52.93</v>
      </c>
      <c r="H11" s="335">
        <v>0</v>
      </c>
      <c r="I11" s="49">
        <v>0</v>
      </c>
      <c r="J11" s="373">
        <v>0</v>
      </c>
      <c r="K11" s="359">
        <v>0</v>
      </c>
      <c r="L11" s="373">
        <v>910.79999999999927</v>
      </c>
      <c r="M11">
        <v>0</v>
      </c>
      <c r="N11" s="370" t="str">
        <f>HYPERLINK("http://finance.yahoo.com/q?s=" &amp; E11, "Link")</f>
        <v>Link</v>
      </c>
      <c r="O11" s="369">
        <v>2.87E-2</v>
      </c>
      <c r="P11" s="369">
        <v>-4.0000000000000002E-4</v>
      </c>
      <c r="R11" s="49"/>
      <c r="T11" s="49"/>
    </row>
    <row r="12" spans="1:22" ht="21.95" customHeight="1" x14ac:dyDescent="0.25">
      <c r="A12" s="51"/>
      <c r="B12" s="51"/>
      <c r="C12" s="52"/>
      <c r="E12" s="23" t="s">
        <v>52</v>
      </c>
      <c r="F12" s="247">
        <v>72.39</v>
      </c>
      <c r="G12" s="247">
        <v>72.39</v>
      </c>
      <c r="H12" s="335">
        <v>0</v>
      </c>
      <c r="I12" s="49">
        <v>0</v>
      </c>
      <c r="J12" s="373">
        <v>0</v>
      </c>
      <c r="K12" s="359">
        <v>0</v>
      </c>
      <c r="L12" s="373">
        <v>1056.739999999998</v>
      </c>
      <c r="M12">
        <v>0</v>
      </c>
      <c r="N12" s="370" t="str">
        <f>HYPERLINK("http://finance.yahoo.com/q?s=" &amp; E12, "Link")</f>
        <v>Link</v>
      </c>
      <c r="O12" s="369">
        <v>2.1999999999999999E-2</v>
      </c>
      <c r="P12" s="369">
        <v>-0.1154</v>
      </c>
      <c r="Q12" s="151"/>
      <c r="S12" s="49"/>
      <c r="T12" s="49"/>
    </row>
    <row r="13" spans="1:22" ht="21.95" customHeight="1" x14ac:dyDescent="0.25">
      <c r="A13" s="51"/>
      <c r="B13" s="51"/>
      <c r="C13" s="52"/>
      <c r="E13" s="23" t="s">
        <v>330</v>
      </c>
      <c r="F13" s="247">
        <v>38.11</v>
      </c>
      <c r="G13" s="247">
        <v>38.11</v>
      </c>
      <c r="H13" s="50">
        <v>0</v>
      </c>
      <c r="I13" s="49">
        <v>0</v>
      </c>
      <c r="J13" s="373">
        <v>0</v>
      </c>
      <c r="K13" s="359">
        <v>0</v>
      </c>
      <c r="L13" s="49">
        <v>264.92000000000007</v>
      </c>
      <c r="M13">
        <v>0</v>
      </c>
      <c r="N13" s="370" t="str">
        <f>HYPERLINK("http://finance.yahoo.com/q?s=" &amp; E13, "Link")</f>
        <v>Link</v>
      </c>
      <c r="O13" s="359">
        <v>3.4200000000000001E-2</v>
      </c>
      <c r="P13" s="359">
        <v>1.17E-2</v>
      </c>
      <c r="Q13" s="151"/>
      <c r="S13" s="49"/>
    </row>
    <row r="14" spans="1:22" ht="21.95" customHeight="1" x14ac:dyDescent="0.25">
      <c r="A14" s="51"/>
      <c r="B14" s="51"/>
      <c r="C14" s="52"/>
      <c r="E14" s="23" t="s">
        <v>227</v>
      </c>
      <c r="F14" s="247">
        <v>27.08</v>
      </c>
      <c r="G14" s="247">
        <v>32.562480000000001</v>
      </c>
      <c r="H14" s="50">
        <v>250</v>
      </c>
      <c r="I14" s="49">
        <v>8140.62</v>
      </c>
      <c r="J14" s="373">
        <v>-1370.62</v>
      </c>
      <c r="K14" s="359">
        <v>-0.16836801128169607</v>
      </c>
      <c r="L14" s="49">
        <v>1939.849999999994</v>
      </c>
      <c r="M14">
        <v>150</v>
      </c>
      <c r="N14" s="370" t="str">
        <f>HYPERLINK("http://finance.yahoo.com/q?s=" &amp; E14, "Link")</f>
        <v>Link</v>
      </c>
      <c r="O14" s="359">
        <v>4.0899999999999999E-2</v>
      </c>
      <c r="P14" s="359">
        <v>-1.5599999999999999E-2</v>
      </c>
      <c r="R14" s="49"/>
    </row>
    <row r="15" spans="1:22" ht="21.95" customHeight="1" x14ac:dyDescent="0.25">
      <c r="A15" s="51"/>
      <c r="B15" s="51"/>
      <c r="C15" s="52"/>
      <c r="E15" s="23" t="s">
        <v>8</v>
      </c>
      <c r="F15" s="247">
        <v>73.56</v>
      </c>
      <c r="G15" s="247">
        <v>73.56</v>
      </c>
      <c r="H15" s="335">
        <v>0</v>
      </c>
      <c r="I15" s="49">
        <v>0</v>
      </c>
      <c r="J15" s="373">
        <v>0</v>
      </c>
      <c r="K15" s="359">
        <v>0</v>
      </c>
      <c r="L15" s="373">
        <v>121.94999999999982</v>
      </c>
      <c r="M15">
        <v>0</v>
      </c>
      <c r="N15" s="370" t="str">
        <f>HYPERLINK("http://finance.yahoo.com/q?s=" &amp; E15, "Link")</f>
        <v>Link</v>
      </c>
      <c r="O15" s="369">
        <v>1.67E-2</v>
      </c>
      <c r="P15" s="369">
        <v>-6.8999999999999999E-3</v>
      </c>
      <c r="R15" s="49"/>
      <c r="S15" s="49"/>
      <c r="T15" s="49"/>
    </row>
    <row r="16" spans="1:22" ht="21.95" customHeight="1" x14ac:dyDescent="0.25">
      <c r="A16" s="52"/>
      <c r="B16" s="52"/>
      <c r="C16" s="52"/>
      <c r="E16" s="23" t="s">
        <v>17</v>
      </c>
      <c r="F16" s="247">
        <v>10.93</v>
      </c>
      <c r="G16" s="50">
        <v>23.215586363636433</v>
      </c>
      <c r="H16" s="335">
        <v>2200</v>
      </c>
      <c r="I16" s="49">
        <v>51074.290000000154</v>
      </c>
      <c r="J16" s="373">
        <v>-27028.290000000154</v>
      </c>
      <c r="K16" s="359">
        <v>-0.5291956089844827</v>
      </c>
      <c r="L16" s="373">
        <v>-27028.290000000154</v>
      </c>
      <c r="M16">
        <v>1700</v>
      </c>
      <c r="N16" s="370" t="str">
        <f>HYPERLINK("http://finance.yahoo.com/q?s=" &amp; E16, "Link")</f>
        <v>Link</v>
      </c>
      <c r="O16" s="369">
        <v>0</v>
      </c>
      <c r="P16" s="369">
        <v>7.4000000000000003E-3</v>
      </c>
      <c r="Q16" s="49"/>
      <c r="R16" s="49"/>
      <c r="T16" s="49"/>
      <c r="V16" s="49"/>
    </row>
    <row r="17" spans="1:20" ht="21.95" customHeight="1" x14ac:dyDescent="0.25">
      <c r="A17" s="51"/>
      <c r="B17" s="51"/>
      <c r="C17" s="52"/>
      <c r="E17" s="23" t="s">
        <v>285</v>
      </c>
      <c r="F17" s="247">
        <v>78.25</v>
      </c>
      <c r="G17" s="247">
        <v>79.19133333333339</v>
      </c>
      <c r="H17" s="50">
        <v>60</v>
      </c>
      <c r="I17" s="49">
        <v>4751.4800000000032</v>
      </c>
      <c r="J17" s="373">
        <v>-56.480000000003201</v>
      </c>
      <c r="K17" s="359">
        <v>-1.1886822632106908E-2</v>
      </c>
      <c r="L17" s="49">
        <v>-56.480000000003201</v>
      </c>
      <c r="M17">
        <v>60</v>
      </c>
      <c r="N17" s="370" t="str">
        <f>HYPERLINK("http://finance.yahoo.com/q?s=" &amp; E17, "Link")</f>
        <v>Link</v>
      </c>
      <c r="O17" s="359">
        <v>2.5499999999999998E-2</v>
      </c>
      <c r="P17" s="359">
        <v>-6.1000000000000004E-3</v>
      </c>
      <c r="Q17" s="151"/>
      <c r="R17" s="49"/>
      <c r="S17" s="49"/>
    </row>
    <row r="18" spans="1:20" ht="21.95" customHeight="1" x14ac:dyDescent="0.25">
      <c r="A18" s="52"/>
      <c r="B18" s="52"/>
      <c r="C18" s="52"/>
      <c r="E18" s="23" t="s">
        <v>32</v>
      </c>
      <c r="F18" s="247">
        <v>44.41</v>
      </c>
      <c r="G18" s="247">
        <v>44.41</v>
      </c>
      <c r="H18" s="50">
        <v>0</v>
      </c>
      <c r="I18" s="49">
        <v>0</v>
      </c>
      <c r="J18" s="373">
        <v>0</v>
      </c>
      <c r="K18" s="359">
        <v>0</v>
      </c>
      <c r="L18" s="49">
        <v>1198.4699999999971</v>
      </c>
      <c r="M18">
        <v>0</v>
      </c>
      <c r="N18" s="370" t="str">
        <f>HYPERLINK("http://finance.yahoo.com/q?s=" &amp; E18, "Link")</f>
        <v>Link</v>
      </c>
      <c r="O18" s="359">
        <v>1.7600000000000001E-2</v>
      </c>
      <c r="P18" s="359">
        <v>1.4E-3</v>
      </c>
      <c r="R18" s="49"/>
      <c r="T18" s="49"/>
    </row>
    <row r="19" spans="1:20" ht="21.95" customHeight="1" x14ac:dyDescent="0.25">
      <c r="A19" s="51"/>
      <c r="B19" s="52"/>
      <c r="C19" s="52"/>
      <c r="E19" s="23" t="s">
        <v>275</v>
      </c>
      <c r="F19" s="247">
        <v>69.069999999999993</v>
      </c>
      <c r="G19" s="247">
        <v>71.680000000000007</v>
      </c>
      <c r="H19" s="335">
        <v>100</v>
      </c>
      <c r="I19" s="49">
        <v>7168.0000000000009</v>
      </c>
      <c r="J19" s="373">
        <v>-261.00000000000091</v>
      </c>
      <c r="K19" s="359">
        <v>-3.6411830357143044E-2</v>
      </c>
      <c r="L19" s="373">
        <v>-102.70000000000164</v>
      </c>
      <c r="M19">
        <v>50</v>
      </c>
      <c r="N19" s="370" t="str">
        <f>HYPERLINK("http://finance.yahoo.com/q?s=" &amp; E19, "Link")</f>
        <v>Link</v>
      </c>
      <c r="O19" s="369">
        <v>1.49E-2</v>
      </c>
      <c r="P19" s="369">
        <v>-6.9999999999999999E-4</v>
      </c>
      <c r="S19" s="49"/>
    </row>
    <row r="20" spans="1:20" ht="21.95" customHeight="1" x14ac:dyDescent="0.25">
      <c r="A20" s="51"/>
      <c r="B20" s="51"/>
      <c r="C20" s="52"/>
      <c r="E20" s="23" t="s">
        <v>63</v>
      </c>
      <c r="F20" s="247">
        <v>114.19</v>
      </c>
      <c r="G20" s="247">
        <v>114.19</v>
      </c>
      <c r="H20" s="335">
        <v>0</v>
      </c>
      <c r="I20" s="49">
        <v>0</v>
      </c>
      <c r="J20" s="373">
        <v>0</v>
      </c>
      <c r="K20" s="359">
        <v>0</v>
      </c>
      <c r="L20" s="373">
        <v>257.30999999999949</v>
      </c>
      <c r="M20">
        <v>0</v>
      </c>
      <c r="N20" s="370" t="str">
        <f>HYPERLINK("http://finance.yahoo.com/q?s=" &amp; E20, "Link")</f>
        <v>Link</v>
      </c>
      <c r="O20" s="369">
        <v>1.38E-2</v>
      </c>
      <c r="P20" s="369">
        <v>3.5999999999999999E-3</v>
      </c>
      <c r="R20" s="49"/>
      <c r="S20" s="49"/>
    </row>
    <row r="21" spans="1:20" ht="21.95" customHeight="1" x14ac:dyDescent="0.25">
      <c r="A21" s="52"/>
      <c r="B21" s="158"/>
      <c r="C21" s="336"/>
      <c r="E21" s="23" t="s">
        <v>321</v>
      </c>
      <c r="F21" s="247">
        <v>94.76</v>
      </c>
      <c r="G21" s="247">
        <v>94.76</v>
      </c>
      <c r="H21" s="50">
        <v>0</v>
      </c>
      <c r="I21" s="49">
        <v>0</v>
      </c>
      <c r="J21" s="373">
        <v>0</v>
      </c>
      <c r="K21" s="359">
        <v>0</v>
      </c>
      <c r="L21" s="49">
        <v>720.56000000000131</v>
      </c>
      <c r="M21">
        <v>0</v>
      </c>
      <c r="N21" s="370" t="str">
        <f>HYPERLINK("http://finance.yahoo.com/q?s=" &amp; E21, "Link")</f>
        <v>Link</v>
      </c>
      <c r="O21" s="359">
        <v>0</v>
      </c>
      <c r="P21" s="359">
        <v>-9.5999999999999992E-3</v>
      </c>
      <c r="R21" s="49"/>
    </row>
    <row r="22" spans="1:20" ht="21.95" customHeight="1" x14ac:dyDescent="0.25">
      <c r="A22" s="51"/>
      <c r="B22" s="52"/>
      <c r="C22" s="52"/>
      <c r="E22" s="23" t="s">
        <v>200</v>
      </c>
      <c r="F22" s="247">
        <v>11.14</v>
      </c>
      <c r="G22" s="247">
        <v>11.14</v>
      </c>
      <c r="H22" s="335">
        <v>0</v>
      </c>
      <c r="I22" s="49">
        <v>0</v>
      </c>
      <c r="J22" s="373">
        <v>0</v>
      </c>
      <c r="K22" s="359">
        <v>0</v>
      </c>
      <c r="L22" s="373">
        <v>251.26000000000022</v>
      </c>
      <c r="M22">
        <v>0</v>
      </c>
      <c r="N22" s="370" t="str">
        <f>HYPERLINK("http://finance.yahoo.com/q?s=" &amp; E22, "Link")</f>
        <v>Link</v>
      </c>
      <c r="O22" s="369">
        <v>5.1499999999999997E-2</v>
      </c>
      <c r="P22" s="369">
        <v>8.9999999999999998E-4</v>
      </c>
      <c r="Q22" s="151"/>
      <c r="S22" s="49"/>
    </row>
    <row r="23" spans="1:20" ht="21.95" customHeight="1" x14ac:dyDescent="0.25">
      <c r="A23" s="52"/>
      <c r="B23" s="52"/>
      <c r="C23" s="52"/>
      <c r="E23" s="23" t="s">
        <v>276</v>
      </c>
      <c r="F23" s="247">
        <v>30.66</v>
      </c>
      <c r="G23" s="247">
        <v>30.66</v>
      </c>
      <c r="H23" s="335">
        <v>0</v>
      </c>
      <c r="I23" s="49">
        <v>0</v>
      </c>
      <c r="J23" s="373">
        <v>0</v>
      </c>
      <c r="K23" s="359">
        <v>0</v>
      </c>
      <c r="L23" s="373">
        <v>98.449999999999818</v>
      </c>
      <c r="M23">
        <v>0</v>
      </c>
      <c r="N23" s="370" t="str">
        <f>HYPERLINK("http://finance.yahoo.com/q?s=" &amp; E23, "Link")</f>
        <v>Link</v>
      </c>
      <c r="O23" s="369">
        <v>1.11E-2</v>
      </c>
      <c r="P23" s="369">
        <v>-2.3E-3</v>
      </c>
      <c r="Q23" s="49"/>
      <c r="R23" s="49"/>
      <c r="T23" s="49"/>
    </row>
    <row r="24" spans="1:20" ht="21.95" customHeight="1" x14ac:dyDescent="0.25">
      <c r="A24" s="51"/>
      <c r="B24" s="51"/>
      <c r="C24" s="51"/>
      <c r="E24" s="23" t="s">
        <v>9</v>
      </c>
      <c r="F24" s="247">
        <v>1.94</v>
      </c>
      <c r="G24" s="247">
        <v>2.7060874999999998</v>
      </c>
      <c r="H24" s="50">
        <v>4000</v>
      </c>
      <c r="I24" s="49">
        <v>10824.349999999999</v>
      </c>
      <c r="J24" s="373">
        <v>-3064.3499999999985</v>
      </c>
      <c r="K24" s="359">
        <v>-0.28309783035470948</v>
      </c>
      <c r="L24" s="49">
        <v>-2629.4199999999983</v>
      </c>
      <c r="M24">
        <v>3000</v>
      </c>
      <c r="N24" s="370" t="str">
        <f>HYPERLINK("http://finance.yahoo.com/q?s=" &amp; E24, "Link")</f>
        <v>Link</v>
      </c>
      <c r="O24" s="359">
        <v>0.1963</v>
      </c>
      <c r="P24" s="359">
        <v>-1.52E-2</v>
      </c>
    </row>
    <row r="25" spans="1:20" ht="21.95" customHeight="1" x14ac:dyDescent="0.25">
      <c r="A25" s="51"/>
      <c r="B25" s="51"/>
      <c r="C25" s="52"/>
      <c r="E25" s="23" t="s">
        <v>55</v>
      </c>
      <c r="F25" s="247">
        <v>66.06</v>
      </c>
      <c r="G25" s="247">
        <v>78.163960000000031</v>
      </c>
      <c r="H25" s="335">
        <v>250</v>
      </c>
      <c r="I25" s="49">
        <v>19540.990000000009</v>
      </c>
      <c r="J25" s="373">
        <v>-3025.9900000000052</v>
      </c>
      <c r="K25" s="359">
        <v>-0.15485346443552789</v>
      </c>
      <c r="L25" s="373">
        <v>-3025.9900000000052</v>
      </c>
      <c r="M25">
        <v>250</v>
      </c>
      <c r="N25" s="370" t="str">
        <f>HYPERLINK("http://finance.yahoo.com/q?s=" &amp; E25, "Link")</f>
        <v>Link</v>
      </c>
      <c r="O25" s="369">
        <v>3.0599999999999999E-2</v>
      </c>
      <c r="P25" s="369">
        <v>-9.5999999999999992E-3</v>
      </c>
      <c r="Q25" s="151"/>
      <c r="T25" s="49"/>
    </row>
    <row r="26" spans="1:20" ht="21.95" customHeight="1" x14ac:dyDescent="0.25">
      <c r="A26" s="51"/>
      <c r="B26" s="51"/>
      <c r="C26" s="52"/>
      <c r="E26" s="23" t="s">
        <v>173</v>
      </c>
      <c r="F26" s="247">
        <v>58.16</v>
      </c>
      <c r="G26" s="247">
        <v>60.83</v>
      </c>
      <c r="H26" s="335">
        <v>100</v>
      </c>
      <c r="I26" s="49">
        <v>6083</v>
      </c>
      <c r="J26" s="373">
        <v>-267</v>
      </c>
      <c r="K26" s="359">
        <v>-4.3892816044714809E-2</v>
      </c>
      <c r="L26" s="373">
        <v>-217.05000000000018</v>
      </c>
      <c r="M26">
        <v>75</v>
      </c>
      <c r="N26" s="370" t="str">
        <f>HYPERLINK("http://finance.yahoo.com/q?s=" &amp; E26, "Link")</f>
        <v>Link</v>
      </c>
      <c r="O26" s="369">
        <v>3.2500000000000001E-2</v>
      </c>
      <c r="P26" s="369">
        <v>9.7000000000000003E-3</v>
      </c>
    </row>
    <row r="27" spans="1:20" ht="21.95" customHeight="1" x14ac:dyDescent="0.25">
      <c r="A27" s="51"/>
      <c r="B27" s="51"/>
      <c r="C27" s="51"/>
      <c r="E27" s="23" t="s">
        <v>56</v>
      </c>
      <c r="F27" s="247">
        <v>33.69</v>
      </c>
      <c r="G27" s="247">
        <v>33.69</v>
      </c>
      <c r="H27" s="50">
        <v>0</v>
      </c>
      <c r="I27" s="49">
        <v>0</v>
      </c>
      <c r="J27" s="373">
        <v>0</v>
      </c>
      <c r="K27" s="359">
        <v>0</v>
      </c>
      <c r="L27" s="49">
        <v>36.819999999999709</v>
      </c>
      <c r="M27">
        <v>0</v>
      </c>
      <c r="N27" s="370" t="str">
        <f>HYPERLINK("http://finance.yahoo.com/q?s=" &amp; E27, "Link")</f>
        <v>Link</v>
      </c>
      <c r="O27" s="359">
        <v>4.2999999999999997E-2</v>
      </c>
      <c r="P27" s="359">
        <v>-6.1999999999999998E-3</v>
      </c>
      <c r="S27" s="49"/>
    </row>
    <row r="28" spans="1:20" ht="21.95" customHeight="1" x14ac:dyDescent="0.25">
      <c r="A28" s="51"/>
      <c r="B28" s="51"/>
      <c r="C28" s="52"/>
      <c r="E28" s="23" t="s">
        <v>22</v>
      </c>
      <c r="F28" s="247">
        <v>48.19</v>
      </c>
      <c r="G28" s="247">
        <v>48.19</v>
      </c>
      <c r="H28" s="335">
        <v>0</v>
      </c>
      <c r="I28" s="49">
        <v>0</v>
      </c>
      <c r="J28" s="373">
        <v>0</v>
      </c>
      <c r="K28" s="359">
        <v>0</v>
      </c>
      <c r="L28" s="373">
        <v>3178.8000000000466</v>
      </c>
      <c r="M28">
        <v>0</v>
      </c>
      <c r="N28" s="370" t="str">
        <f>HYPERLINK("http://finance.yahoo.com/q?s=" &amp; E28, "Link")</f>
        <v>Link</v>
      </c>
      <c r="O28" s="369">
        <v>2.07E-2</v>
      </c>
      <c r="P28" s="369">
        <v>-2.47E-2</v>
      </c>
      <c r="Q28" s="151"/>
      <c r="S28" s="49"/>
      <c r="T28" s="49"/>
    </row>
    <row r="29" spans="1:20" ht="21.95" customHeight="1" x14ac:dyDescent="0.25">
      <c r="A29" s="51"/>
      <c r="B29" s="51"/>
      <c r="C29" s="52"/>
      <c r="E29" s="23" t="s">
        <v>27</v>
      </c>
      <c r="F29" s="247">
        <v>35.765000000000001</v>
      </c>
      <c r="G29" s="247">
        <v>35.765000000000001</v>
      </c>
      <c r="H29" s="335">
        <v>0</v>
      </c>
      <c r="I29" s="49">
        <v>0</v>
      </c>
      <c r="J29" s="373">
        <v>0</v>
      </c>
      <c r="K29" s="359">
        <v>0</v>
      </c>
      <c r="L29" s="373">
        <v>1407.5400000000009</v>
      </c>
      <c r="M29">
        <v>0</v>
      </c>
      <c r="N29" s="370" t="str">
        <f>HYPERLINK("http://finance.yahoo.com/q?s=" &amp; E29, "Link")</f>
        <v>Link</v>
      </c>
      <c r="O29" s="369">
        <v>3.0200000000000001E-2</v>
      </c>
      <c r="P29" s="369">
        <v>8.0300000000000007E-3</v>
      </c>
    </row>
    <row r="30" spans="1:20" ht="21.95" customHeight="1" x14ac:dyDescent="0.25">
      <c r="A30" s="52"/>
      <c r="B30" s="51"/>
      <c r="C30" s="52"/>
      <c r="E30" s="23" t="s">
        <v>174</v>
      </c>
      <c r="F30" s="247">
        <v>51.45</v>
      </c>
      <c r="G30" s="247">
        <v>51.45</v>
      </c>
      <c r="H30" s="335">
        <v>0</v>
      </c>
      <c r="I30" s="49">
        <v>0</v>
      </c>
      <c r="J30" s="373">
        <v>0</v>
      </c>
      <c r="K30" s="359">
        <v>0</v>
      </c>
      <c r="L30" s="373">
        <v>119.92000000000053</v>
      </c>
      <c r="M30">
        <v>0</v>
      </c>
      <c r="N30" s="370" t="str">
        <f>HYPERLINK("http://finance.yahoo.com/q?s=" &amp; E30, "Link")</f>
        <v>Link</v>
      </c>
      <c r="O30" s="369">
        <v>3.6400000000000002E-2</v>
      </c>
      <c r="P30" s="369">
        <v>1.9400000000000001E-2</v>
      </c>
      <c r="Q30" s="446"/>
      <c r="R30" s="49"/>
      <c r="S30" s="49"/>
    </row>
    <row r="31" spans="1:20" ht="21.95" customHeight="1" x14ac:dyDescent="0.25">
      <c r="A31" s="51"/>
      <c r="B31" s="51"/>
      <c r="C31" s="52"/>
      <c r="E31" s="23" t="s">
        <v>279</v>
      </c>
      <c r="F31" s="247">
        <v>121.82</v>
      </c>
      <c r="G31" s="247">
        <v>121.82</v>
      </c>
      <c r="H31" s="335">
        <v>0</v>
      </c>
      <c r="I31" s="49">
        <v>0</v>
      </c>
      <c r="J31" s="373">
        <v>0</v>
      </c>
      <c r="K31" s="359">
        <v>0</v>
      </c>
      <c r="L31" s="373">
        <v>154.77999999999975</v>
      </c>
      <c r="M31">
        <v>0</v>
      </c>
      <c r="N31" s="370" t="str">
        <f>HYPERLINK("http://finance.yahoo.com/q?s=" &amp; E31, "Link")</f>
        <v>Link</v>
      </c>
      <c r="O31" s="369">
        <v>2.5700000000000001E-2</v>
      </c>
      <c r="P31" s="369">
        <v>-3.1E-2</v>
      </c>
      <c r="Q31" s="446"/>
      <c r="R31" s="49"/>
      <c r="S31" s="49"/>
      <c r="T31" s="49"/>
    </row>
    <row r="32" spans="1:20" ht="21.95" customHeight="1" x14ac:dyDescent="0.25">
      <c r="A32" s="51"/>
      <c r="B32" s="51"/>
      <c r="C32" s="52"/>
      <c r="E32" s="23" t="s">
        <v>15</v>
      </c>
      <c r="F32" s="247">
        <v>18.16</v>
      </c>
      <c r="G32" s="247">
        <v>18.16</v>
      </c>
      <c r="H32" s="335">
        <v>0</v>
      </c>
      <c r="I32" s="49">
        <v>0</v>
      </c>
      <c r="J32" s="373">
        <v>0</v>
      </c>
      <c r="K32" s="359">
        <v>0</v>
      </c>
      <c r="L32" s="373">
        <v>155.90000000000146</v>
      </c>
      <c r="M32">
        <v>0</v>
      </c>
      <c r="N32" s="370" t="str">
        <f>HYPERLINK("http://finance.yahoo.com/q?s=" &amp; E32, "Link")</f>
        <v>Link</v>
      </c>
      <c r="O32" s="369">
        <v>0</v>
      </c>
      <c r="P32" s="369">
        <v>-6.3899999999999998E-2</v>
      </c>
      <c r="Q32" s="151"/>
      <c r="R32" s="49"/>
      <c r="S32" s="49"/>
      <c r="T32" s="49"/>
    </row>
    <row r="33" spans="1:21" ht="21.95" customHeight="1" x14ac:dyDescent="0.25">
      <c r="A33" s="51"/>
      <c r="B33" s="51"/>
      <c r="C33" s="52"/>
      <c r="E33" s="23" t="s">
        <v>24</v>
      </c>
      <c r="F33" s="247">
        <v>36.9</v>
      </c>
      <c r="G33" s="247">
        <v>36.9</v>
      </c>
      <c r="H33" s="335">
        <v>0</v>
      </c>
      <c r="I33" s="49">
        <v>0</v>
      </c>
      <c r="J33" s="373">
        <v>0</v>
      </c>
      <c r="K33" s="359">
        <v>0</v>
      </c>
      <c r="L33" s="373">
        <v>937.36999999999534</v>
      </c>
      <c r="M33">
        <v>0</v>
      </c>
      <c r="N33" s="370" t="str">
        <f>HYPERLINK("http://finance.yahoo.com/q?s=" &amp; E33, "Link")</f>
        <v>Link</v>
      </c>
      <c r="O33" s="369">
        <v>0</v>
      </c>
      <c r="P33" s="369">
        <v>-1.1299999999999999E-2</v>
      </c>
    </row>
    <row r="34" spans="1:21" ht="21.95" customHeight="1" x14ac:dyDescent="0.25">
      <c r="A34" s="51"/>
      <c r="B34" s="51"/>
      <c r="C34" s="52"/>
      <c r="E34" s="23" t="s">
        <v>199</v>
      </c>
      <c r="F34" s="247">
        <v>29.82</v>
      </c>
      <c r="G34" s="247">
        <v>31.861853333333332</v>
      </c>
      <c r="H34" s="335">
        <v>1500</v>
      </c>
      <c r="I34" s="49">
        <v>47792.78</v>
      </c>
      <c r="J34" s="373">
        <v>-3062.7799999999988</v>
      </c>
      <c r="K34" s="359">
        <v>-6.4084575117831569E-2</v>
      </c>
      <c r="L34" s="373">
        <v>-1314.8100000000049</v>
      </c>
      <c r="M34">
        <v>1500</v>
      </c>
      <c r="N34" s="370" t="str">
        <f>HYPERLINK("http://finance.yahoo.com/q?s=" &amp; E34, "Link")</f>
        <v>Link</v>
      </c>
      <c r="O34" s="369">
        <v>1.6299999999999999E-2</v>
      </c>
      <c r="P34" s="369">
        <v>-6.0000000000000001E-3</v>
      </c>
      <c r="R34" s="49"/>
      <c r="S34" s="49"/>
      <c r="T34" s="49"/>
    </row>
    <row r="35" spans="1:21" ht="21.95" customHeight="1" x14ac:dyDescent="0.25">
      <c r="A35" s="52"/>
      <c r="B35" s="52"/>
      <c r="C35" s="52"/>
      <c r="E35" s="23" t="s">
        <v>36</v>
      </c>
      <c r="F35" s="247">
        <v>54.42</v>
      </c>
      <c r="G35" s="247">
        <v>54.42</v>
      </c>
      <c r="H35" s="335">
        <v>0</v>
      </c>
      <c r="I35" s="49">
        <v>0</v>
      </c>
      <c r="J35" s="373">
        <v>0</v>
      </c>
      <c r="K35" s="359">
        <v>0</v>
      </c>
      <c r="L35" s="373">
        <v>117.73999999999978</v>
      </c>
      <c r="M35">
        <v>0</v>
      </c>
      <c r="N35" s="370" t="str">
        <f>HYPERLINK("http://finance.yahoo.com/q?s=" &amp; E35, "Link")</f>
        <v>Link</v>
      </c>
      <c r="O35" s="369">
        <v>7.4000000000000003E-3</v>
      </c>
      <c r="P35" s="369">
        <v>-5.4999999999999997E-3</v>
      </c>
      <c r="Q35" s="49"/>
      <c r="S35" s="49"/>
    </row>
    <row r="36" spans="1:21" ht="21.95" customHeight="1" x14ac:dyDescent="0.25">
      <c r="A36" s="51"/>
      <c r="B36" s="51"/>
      <c r="C36" s="52"/>
      <c r="E36" s="23" t="s">
        <v>230</v>
      </c>
      <c r="F36" s="247">
        <v>27.04</v>
      </c>
      <c r="G36" s="247">
        <v>29.412799999999997</v>
      </c>
      <c r="H36" s="335">
        <v>200</v>
      </c>
      <c r="I36" s="436">
        <v>5882.5599999999995</v>
      </c>
      <c r="J36" s="373">
        <v>-474.55999999999949</v>
      </c>
      <c r="K36" s="359">
        <v>-8.0672360332916221E-2</v>
      </c>
      <c r="L36" s="373">
        <v>977.69999999999891</v>
      </c>
      <c r="M36">
        <v>100</v>
      </c>
      <c r="N36" s="370" t="str">
        <f>HYPERLINK("http://finance.yahoo.com/q?s=" &amp; E36, "Link")</f>
        <v>Link</v>
      </c>
      <c r="O36" s="369">
        <v>2.06E-2</v>
      </c>
      <c r="P36" s="369">
        <v>-1.17E-2</v>
      </c>
      <c r="Q36" s="49"/>
      <c r="R36" s="49"/>
      <c r="S36" s="49"/>
      <c r="T36" s="49"/>
    </row>
    <row r="37" spans="1:21" ht="21.95" customHeight="1" x14ac:dyDescent="0.25">
      <c r="A37" s="51"/>
      <c r="B37" s="51"/>
      <c r="C37" s="52"/>
      <c r="E37" s="23" t="s">
        <v>50</v>
      </c>
      <c r="F37" s="247">
        <v>15.74</v>
      </c>
      <c r="G37" s="247">
        <v>16.37519838709677</v>
      </c>
      <c r="H37" s="50">
        <v>6200</v>
      </c>
      <c r="I37" s="49">
        <v>101526.22999999997</v>
      </c>
      <c r="J37" s="373">
        <v>-3938.2299999999814</v>
      </c>
      <c r="K37" s="359">
        <v>-3.8790271243204569E-2</v>
      </c>
      <c r="L37" s="49">
        <v>10677.341000001645</v>
      </c>
      <c r="M37">
        <v>5300</v>
      </c>
      <c r="N37" s="370" t="str">
        <f>HYPERLINK("http://finance.yahoo.com/q?s=" &amp; E37, "Link")</f>
        <v>Link</v>
      </c>
      <c r="O37" s="359">
        <v>1.2699999999999999E-2</v>
      </c>
      <c r="P37" s="359">
        <v>-1.7500000000000002E-2</v>
      </c>
    </row>
    <row r="38" spans="1:21" ht="21.95" customHeight="1" x14ac:dyDescent="0.25">
      <c r="A38" s="51"/>
      <c r="B38" s="51"/>
      <c r="C38" s="52"/>
      <c r="E38" s="23" t="s">
        <v>34</v>
      </c>
      <c r="F38" s="247">
        <v>27.14</v>
      </c>
      <c r="G38" s="247">
        <v>25.589166666666667</v>
      </c>
      <c r="H38" s="335">
        <v>1200</v>
      </c>
      <c r="I38" s="49">
        <v>30707</v>
      </c>
      <c r="J38" s="373">
        <v>1861</v>
      </c>
      <c r="K38" s="359">
        <v>6.0605073761683004E-2</v>
      </c>
      <c r="L38" s="373">
        <v>17356.866999999853</v>
      </c>
      <c r="M38">
        <v>900</v>
      </c>
      <c r="N38" s="370" t="str">
        <f>HYPERLINK("http://finance.yahoo.com/q?s=" &amp; E38, "Link")</f>
        <v>Link</v>
      </c>
      <c r="O38" s="369">
        <v>0</v>
      </c>
      <c r="P38" s="369">
        <v>4.0000000000000002E-4</v>
      </c>
      <c r="Q38" s="49"/>
      <c r="R38" s="49"/>
      <c r="U38" s="49"/>
    </row>
    <row r="39" spans="1:21" ht="21.95" customHeight="1" x14ac:dyDescent="0.25">
      <c r="A39" s="52"/>
      <c r="B39" s="158"/>
      <c r="C39" s="336"/>
      <c r="E39" s="23" t="s">
        <v>207</v>
      </c>
      <c r="F39" s="247">
        <v>37.03</v>
      </c>
      <c r="G39" s="247">
        <v>37.03</v>
      </c>
      <c r="H39" s="335">
        <v>0</v>
      </c>
      <c r="I39" s="49">
        <v>0</v>
      </c>
      <c r="J39" s="373">
        <v>0</v>
      </c>
      <c r="K39" s="359">
        <v>0</v>
      </c>
      <c r="L39" s="373">
        <v>439.77999999999975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-1.38E-2</v>
      </c>
      <c r="Q39" s="151"/>
      <c r="R39" s="49"/>
      <c r="S39" s="49"/>
      <c r="T39" s="49"/>
    </row>
    <row r="40" spans="1:21" ht="21.95" customHeight="1" x14ac:dyDescent="0.25">
      <c r="A40" s="51"/>
      <c r="B40" s="51"/>
      <c r="C40" s="52"/>
      <c r="E40" s="23" t="s">
        <v>277</v>
      </c>
      <c r="F40" s="247">
        <v>48.82</v>
      </c>
      <c r="G40" s="247">
        <v>48.82</v>
      </c>
      <c r="H40" s="335">
        <v>0</v>
      </c>
      <c r="I40" s="49">
        <v>0</v>
      </c>
      <c r="J40" s="373">
        <v>0</v>
      </c>
      <c r="K40" s="359">
        <v>0</v>
      </c>
      <c r="L40" s="373">
        <v>427.92000000000007</v>
      </c>
      <c r="M40">
        <v>0</v>
      </c>
      <c r="N40" s="370" t="str">
        <f>HYPERLINK("http://finance.yahoo.com/q?s=" &amp; E40, "Link")</f>
        <v>Link</v>
      </c>
      <c r="O40" s="369">
        <v>0</v>
      </c>
      <c r="P40" s="369">
        <v>-2.8999999999999998E-3</v>
      </c>
      <c r="Q40" s="446"/>
      <c r="R40" s="49"/>
      <c r="S40" s="49"/>
      <c r="T40" s="49"/>
    </row>
    <row r="41" spans="1:21" ht="21.95" customHeight="1" x14ac:dyDescent="0.25">
      <c r="A41" s="158"/>
      <c r="B41" s="51"/>
      <c r="C41" s="52"/>
      <c r="E41" s="23" t="s">
        <v>198</v>
      </c>
      <c r="F41" s="247">
        <v>56.11</v>
      </c>
      <c r="G41" s="247">
        <v>56.11</v>
      </c>
      <c r="H41" s="50">
        <v>0</v>
      </c>
      <c r="I41" s="49">
        <v>0</v>
      </c>
      <c r="J41" s="373">
        <v>0</v>
      </c>
      <c r="K41" s="359">
        <v>0</v>
      </c>
      <c r="L41" s="49">
        <v>475.47999999999956</v>
      </c>
      <c r="M41">
        <v>0</v>
      </c>
      <c r="N41" s="370" t="str">
        <f>HYPERLINK("http://finance.yahoo.com/q?s=" &amp; E41, "Link")</f>
        <v>Link</v>
      </c>
      <c r="O41" s="359">
        <v>1.29E-2</v>
      </c>
      <c r="P41" s="359">
        <v>-2.3E-3</v>
      </c>
      <c r="R41" s="49"/>
      <c r="S41" s="49"/>
      <c r="T41" s="49"/>
    </row>
    <row r="42" spans="1:21" ht="21.95" customHeight="1" x14ac:dyDescent="0.25">
      <c r="A42" s="51"/>
      <c r="B42" s="51"/>
      <c r="C42" s="52"/>
      <c r="E42" s="23" t="s">
        <v>47</v>
      </c>
      <c r="F42" s="247">
        <v>112.85</v>
      </c>
      <c r="G42" s="247">
        <v>112.85</v>
      </c>
      <c r="H42" s="50">
        <v>0</v>
      </c>
      <c r="I42" s="49">
        <v>0</v>
      </c>
      <c r="J42" s="373">
        <v>0</v>
      </c>
      <c r="K42" s="359">
        <v>0</v>
      </c>
      <c r="L42" s="49">
        <v>-168.6200000000008</v>
      </c>
      <c r="M42">
        <v>0</v>
      </c>
      <c r="N42" s="370" t="str">
        <f>HYPERLINK("http://finance.yahoo.com/q?s=" &amp; E42, "Link")</f>
        <v>Link</v>
      </c>
      <c r="O42" s="359">
        <v>2.18E-2</v>
      </c>
      <c r="P42" s="359">
        <v>-3.0000000000000001E-3</v>
      </c>
      <c r="R42" s="49"/>
      <c r="S42" s="49"/>
      <c r="T42" s="49"/>
    </row>
    <row r="43" spans="1:21" ht="21.95" customHeight="1" x14ac:dyDescent="0.25">
      <c r="A43" s="51"/>
      <c r="B43" s="51"/>
      <c r="C43" s="52"/>
      <c r="E43" s="23" t="s">
        <v>176</v>
      </c>
      <c r="F43" s="247">
        <v>46.27</v>
      </c>
      <c r="G43" s="247">
        <v>46.27</v>
      </c>
      <c r="H43" s="335">
        <v>0</v>
      </c>
      <c r="I43" s="49">
        <v>0</v>
      </c>
      <c r="J43" s="373">
        <v>0</v>
      </c>
      <c r="K43" s="359">
        <v>0</v>
      </c>
      <c r="L43" s="373">
        <v>75.019999999999982</v>
      </c>
      <c r="M43">
        <v>0</v>
      </c>
      <c r="N43" s="370" t="str">
        <f>HYPERLINK("http://finance.yahoo.com/q?s=" &amp; E43, "Link")</f>
        <v>Link</v>
      </c>
      <c r="O43" s="369">
        <v>1.61E-2</v>
      </c>
      <c r="P43" s="369">
        <v>-4.3E-3</v>
      </c>
      <c r="Q43" s="151"/>
    </row>
    <row r="44" spans="1:21" ht="21.95" customHeight="1" x14ac:dyDescent="0.25">
      <c r="A44" s="51"/>
      <c r="B44" s="51"/>
      <c r="C44" s="52"/>
      <c r="E44" s="23" t="s">
        <v>23</v>
      </c>
      <c r="F44" s="247">
        <v>32.520000000000003</v>
      </c>
      <c r="G44" s="247">
        <v>32.520000000000003</v>
      </c>
      <c r="H44" s="50">
        <v>0</v>
      </c>
      <c r="I44" s="49">
        <v>0</v>
      </c>
      <c r="J44" s="373">
        <v>0</v>
      </c>
      <c r="K44" s="359">
        <v>0</v>
      </c>
      <c r="L44" s="49">
        <v>171.89999999999964</v>
      </c>
      <c r="M44">
        <v>0</v>
      </c>
      <c r="N44" s="370" t="str">
        <f>HYPERLINK("http://finance.yahoo.com/q?s=" &amp; E44, "Link")</f>
        <v>Link</v>
      </c>
      <c r="O44" s="359">
        <v>0</v>
      </c>
      <c r="P44" s="359">
        <v>-5.7999999999999996E-3</v>
      </c>
      <c r="R44" s="49"/>
      <c r="S44" s="49"/>
    </row>
    <row r="45" spans="1:21" ht="21.95" customHeight="1" x14ac:dyDescent="0.25">
      <c r="A45" s="52"/>
      <c r="B45" s="52"/>
      <c r="C45" s="52"/>
      <c r="E45" s="23" t="s">
        <v>218</v>
      </c>
      <c r="F45" s="247">
        <v>65.86</v>
      </c>
      <c r="G45" s="247">
        <v>71.599450000000019</v>
      </c>
      <c r="H45" s="335">
        <v>200</v>
      </c>
      <c r="I45" s="49">
        <v>14319.890000000003</v>
      </c>
      <c r="J45" s="373">
        <v>-1147.8900000000031</v>
      </c>
      <c r="K45" s="359">
        <v>-8.0160531959393794E-2</v>
      </c>
      <c r="L45" s="373">
        <v>-471.94000000000233</v>
      </c>
      <c r="M45">
        <v>200</v>
      </c>
      <c r="N45" s="370" t="str">
        <f>HYPERLINK("http://finance.yahoo.com/q?s=" &amp; E45, "Link")</f>
        <v>Link</v>
      </c>
      <c r="O45" s="369">
        <v>1.7899999999999999E-2</v>
      </c>
      <c r="P45" s="369">
        <v>-1.5800000000000002E-2</v>
      </c>
      <c r="Q45" s="151"/>
      <c r="R45" s="49"/>
      <c r="S45" s="49"/>
      <c r="T45" s="49"/>
    </row>
    <row r="46" spans="1:21" ht="21.95" customHeight="1" x14ac:dyDescent="0.25">
      <c r="A46" s="51"/>
      <c r="B46" s="51"/>
      <c r="C46" s="52"/>
      <c r="E46" s="23" t="s">
        <v>177</v>
      </c>
      <c r="F46" s="247">
        <v>233.87</v>
      </c>
      <c r="G46" s="247">
        <v>233.87</v>
      </c>
      <c r="H46" s="335">
        <v>0</v>
      </c>
      <c r="I46" s="49">
        <v>0</v>
      </c>
      <c r="J46" s="373">
        <v>0</v>
      </c>
      <c r="K46" s="359">
        <v>0</v>
      </c>
      <c r="L46" s="373">
        <v>160.82999999999993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-3.0000000000000001E-3</v>
      </c>
      <c r="Q46" s="151"/>
      <c r="S46" s="49"/>
    </row>
    <row r="47" spans="1:21" ht="21.95" customHeight="1" x14ac:dyDescent="0.25">
      <c r="A47" s="52"/>
      <c r="B47" s="52"/>
      <c r="C47" s="52"/>
      <c r="E47" s="23" t="s">
        <v>172</v>
      </c>
      <c r="F47" s="247">
        <v>99.03</v>
      </c>
      <c r="G47" s="247">
        <v>99.03</v>
      </c>
      <c r="H47" s="335">
        <v>0</v>
      </c>
      <c r="I47" s="49">
        <v>0</v>
      </c>
      <c r="J47" s="373">
        <v>0</v>
      </c>
      <c r="K47" s="359">
        <v>0</v>
      </c>
      <c r="L47" s="373">
        <v>1368.9000000000015</v>
      </c>
      <c r="M47">
        <v>0</v>
      </c>
      <c r="N47" s="370" t="str">
        <f>HYPERLINK("http://finance.yahoo.com/q?s=" &amp; E47, "Link")</f>
        <v>Link</v>
      </c>
      <c r="O47" s="369">
        <v>1.14E-2</v>
      </c>
      <c r="P47" s="369">
        <v>2.7000000000000001E-3</v>
      </c>
      <c r="R47" s="49"/>
      <c r="S47" s="49"/>
    </row>
    <row r="48" spans="1:21" ht="21.95" customHeight="1" x14ac:dyDescent="0.25">
      <c r="A48" s="51"/>
      <c r="B48" s="52"/>
      <c r="C48" s="52"/>
      <c r="E48" s="23" t="s">
        <v>349</v>
      </c>
      <c r="F48" s="247">
        <v>30.99</v>
      </c>
      <c r="G48" s="247">
        <v>31.661124999999991</v>
      </c>
      <c r="H48" s="335">
        <v>80</v>
      </c>
      <c r="I48" s="49">
        <v>2532.8899999999994</v>
      </c>
      <c r="J48" s="373">
        <v>-53.6899999999996</v>
      </c>
      <c r="K48" s="359">
        <v>-2.1197130550477693E-2</v>
      </c>
      <c r="L48" s="373">
        <v>-53.6899999999996</v>
      </c>
      <c r="M48" s="30">
        <v>42874</v>
      </c>
      <c r="N48" s="370" t="str">
        <f>HYPERLINK("http://finance.yahoo.com/q?s=" &amp; E48, "Link")</f>
        <v>Link</v>
      </c>
      <c r="O48" s="369">
        <v>4.24E-2</v>
      </c>
      <c r="P48" s="369">
        <v>-3.61E-2</v>
      </c>
      <c r="R48" s="49"/>
      <c r="T48" s="49"/>
    </row>
    <row r="49" spans="1:21" ht="21.95" customHeight="1" x14ac:dyDescent="0.25">
      <c r="A49" s="51"/>
      <c r="B49" s="51"/>
      <c r="C49" s="52"/>
      <c r="E49" s="23" t="s">
        <v>363</v>
      </c>
      <c r="F49" s="247">
        <v>53.6</v>
      </c>
      <c r="G49" s="247">
        <v>57.772307692307692</v>
      </c>
      <c r="H49" s="50">
        <v>130</v>
      </c>
      <c r="I49" s="49">
        <v>7510.4</v>
      </c>
      <c r="J49" s="373">
        <v>-542.39999999999964</v>
      </c>
      <c r="K49" s="359">
        <v>-7.2219855134213862E-2</v>
      </c>
      <c r="L49" s="49">
        <v>-542.39999999999964</v>
      </c>
      <c r="M49">
        <v>130</v>
      </c>
      <c r="N49" s="370" t="str">
        <f>HYPERLINK("http://finance.yahoo.com/q?s=" &amp; E49, "Link")</f>
        <v>Link</v>
      </c>
      <c r="O49" s="359">
        <v>4.3499999999999997E-2</v>
      </c>
      <c r="P49" s="359">
        <v>-1.5E-3</v>
      </c>
      <c r="S49" s="49"/>
      <c r="T49" s="49"/>
    </row>
    <row r="50" spans="1:21" ht="21.95" customHeight="1" x14ac:dyDescent="0.25">
      <c r="A50" s="51"/>
      <c r="B50" s="51"/>
      <c r="C50" s="52"/>
      <c r="E50" s="23" t="s">
        <v>39</v>
      </c>
      <c r="F50" s="247">
        <v>43.6</v>
      </c>
      <c r="G50" s="247">
        <v>43.6</v>
      </c>
      <c r="H50" s="50">
        <v>0</v>
      </c>
      <c r="I50" s="49">
        <v>0</v>
      </c>
      <c r="J50" s="373">
        <v>0</v>
      </c>
      <c r="K50" s="359">
        <v>0</v>
      </c>
      <c r="L50" s="49">
        <v>529.88000000000284</v>
      </c>
      <c r="M50">
        <v>0</v>
      </c>
      <c r="N50" s="370" t="str">
        <f>HYPERLINK("http://finance.yahoo.com/q?s=" &amp; E50, "Link")</f>
        <v>Link</v>
      </c>
      <c r="O50" s="359">
        <v>2.3E-2</v>
      </c>
      <c r="P50" s="359">
        <v>9.2999999999999992E-3</v>
      </c>
      <c r="S50" s="49"/>
    </row>
    <row r="51" spans="1:21" ht="21.95" customHeight="1" x14ac:dyDescent="0.25">
      <c r="A51" s="51"/>
      <c r="B51" s="51"/>
      <c r="C51" s="52"/>
      <c r="E51" s="23" t="s">
        <v>0</v>
      </c>
      <c r="F51" s="247">
        <v>153.27000000000001</v>
      </c>
      <c r="G51" s="247">
        <v>153.27000000000001</v>
      </c>
      <c r="H51" s="335">
        <v>0</v>
      </c>
      <c r="I51" s="49">
        <v>0</v>
      </c>
      <c r="J51" s="373">
        <v>0</v>
      </c>
      <c r="K51" s="359">
        <v>0</v>
      </c>
      <c r="L51" s="373">
        <v>465.57999999999993</v>
      </c>
      <c r="M51">
        <v>0</v>
      </c>
      <c r="N51" s="370" t="str">
        <f>HYPERLINK("http://finance.yahoo.com/q?s=" &amp; E51, "Link")</f>
        <v>Link</v>
      </c>
      <c r="O51" s="369">
        <v>3.8999999999999998E-3</v>
      </c>
      <c r="P51" s="369">
        <v>-2.8E-3</v>
      </c>
      <c r="Q51" s="446"/>
      <c r="R51" s="49"/>
      <c r="S51" s="49"/>
      <c r="U51" s="49"/>
    </row>
    <row r="52" spans="1:21" ht="21.95" customHeight="1" x14ac:dyDescent="0.25">
      <c r="A52" s="52"/>
      <c r="B52" s="52"/>
      <c r="C52" s="52"/>
      <c r="E52" s="23" t="s">
        <v>13</v>
      </c>
      <c r="F52" s="247">
        <v>67.75</v>
      </c>
      <c r="G52" s="247">
        <v>67.75</v>
      </c>
      <c r="H52" s="335">
        <v>0</v>
      </c>
      <c r="I52" s="49">
        <v>0</v>
      </c>
      <c r="J52" s="373">
        <v>0</v>
      </c>
      <c r="K52" s="359">
        <v>0</v>
      </c>
      <c r="L52" s="373">
        <v>1461.5600000000013</v>
      </c>
      <c r="M52">
        <v>0</v>
      </c>
      <c r="N52" s="370" t="str">
        <f>HYPERLINK("http://finance.yahoo.com/q?s=" &amp; E52, "Link")</f>
        <v>Link</v>
      </c>
      <c r="O52" s="369">
        <v>0</v>
      </c>
      <c r="P52" s="369">
        <v>-4.2700000000000002E-2</v>
      </c>
      <c r="T52" s="49"/>
    </row>
    <row r="53" spans="1:21" ht="21.95" customHeight="1" x14ac:dyDescent="0.25">
      <c r="A53" s="51"/>
      <c r="B53" s="51"/>
      <c r="C53" s="52"/>
      <c r="E53" s="23" t="s">
        <v>51</v>
      </c>
      <c r="F53" s="247">
        <v>168.59</v>
      </c>
      <c r="G53" s="247">
        <v>168.59</v>
      </c>
      <c r="H53" s="335">
        <v>0</v>
      </c>
      <c r="I53" s="49">
        <v>0</v>
      </c>
      <c r="J53" s="373">
        <v>0</v>
      </c>
      <c r="K53" s="359">
        <v>0</v>
      </c>
      <c r="L53" s="373">
        <v>176.70000000000073</v>
      </c>
      <c r="M53">
        <v>0</v>
      </c>
      <c r="N53" s="370" t="str">
        <f>HYPERLINK("http://finance.yahoo.com/q?s=" &amp; E53, "Link")</f>
        <v>Link</v>
      </c>
      <c r="O53" s="369">
        <v>1.52E-2</v>
      </c>
      <c r="P53" s="369">
        <v>8.3999999999999995E-3</v>
      </c>
      <c r="R53" s="49"/>
      <c r="S53" s="49"/>
    </row>
    <row r="54" spans="1:21" ht="21.95" customHeight="1" x14ac:dyDescent="0.25">
      <c r="A54" s="51"/>
      <c r="B54" s="51"/>
      <c r="C54" s="52"/>
      <c r="E54" s="23" t="s">
        <v>42</v>
      </c>
      <c r="F54" s="247">
        <v>106.24</v>
      </c>
      <c r="G54" s="247">
        <v>106.24</v>
      </c>
      <c r="H54" s="335">
        <v>0</v>
      </c>
      <c r="I54" s="49">
        <v>0</v>
      </c>
      <c r="J54" s="373">
        <v>0</v>
      </c>
      <c r="K54" s="359">
        <v>0</v>
      </c>
      <c r="L54" s="373">
        <v>128.08999999999833</v>
      </c>
      <c r="M54">
        <v>0</v>
      </c>
      <c r="N54" s="370" t="str">
        <f>HYPERLINK("http://finance.yahoo.com/q?s=" &amp; E54, "Link")</f>
        <v>Link</v>
      </c>
      <c r="O54" s="369">
        <v>2.18E-2</v>
      </c>
      <c r="P54" s="369">
        <v>2.5000000000000001E-3</v>
      </c>
    </row>
    <row r="55" spans="1:21" ht="21.95" customHeight="1" x14ac:dyDescent="0.25">
      <c r="A55" s="51"/>
      <c r="B55" s="51"/>
      <c r="C55" s="52"/>
      <c r="E55" s="23" t="s">
        <v>54</v>
      </c>
      <c r="F55" s="247">
        <v>113.56</v>
      </c>
      <c r="G55" s="247">
        <v>113.56</v>
      </c>
      <c r="H55" s="50">
        <v>0</v>
      </c>
      <c r="I55" s="49">
        <v>0</v>
      </c>
      <c r="J55" s="373">
        <v>0</v>
      </c>
      <c r="K55" s="359">
        <v>0</v>
      </c>
      <c r="L55" s="49">
        <v>114.84999999999991</v>
      </c>
      <c r="M55">
        <v>0</v>
      </c>
      <c r="N55" s="370" t="str">
        <f>HYPERLINK("http://finance.yahoo.com/q?s=" &amp; E55, "Link")</f>
        <v>Link</v>
      </c>
      <c r="O55" s="359">
        <v>2.35E-2</v>
      </c>
      <c r="P55" s="359">
        <v>2.5999999999999999E-3</v>
      </c>
      <c r="R55" s="49"/>
      <c r="S55" s="49"/>
    </row>
    <row r="56" spans="1:21" ht="21.95" customHeight="1" x14ac:dyDescent="0.25">
      <c r="A56" s="51"/>
      <c r="B56" s="51"/>
      <c r="C56" s="52"/>
      <c r="E56" s="23" t="s">
        <v>228</v>
      </c>
      <c r="F56" s="247">
        <v>51.27</v>
      </c>
      <c r="G56" s="247">
        <v>51.27</v>
      </c>
      <c r="H56" s="335">
        <v>0</v>
      </c>
      <c r="I56" s="49">
        <v>0</v>
      </c>
      <c r="J56" s="373">
        <v>0</v>
      </c>
      <c r="K56" s="359">
        <v>0</v>
      </c>
      <c r="L56" s="373">
        <v>257.64999999999964</v>
      </c>
      <c r="M56">
        <v>0</v>
      </c>
      <c r="N56" s="370" t="str">
        <f>HYPERLINK("http://finance.yahoo.com/q?s=" &amp; E56, "Link")</f>
        <v>Link</v>
      </c>
      <c r="O56" s="369">
        <v>0</v>
      </c>
      <c r="P56" s="369">
        <v>-4.7000000000000002E-3</v>
      </c>
      <c r="Q56" s="49"/>
      <c r="R56" s="49"/>
      <c r="S56" s="49"/>
      <c r="T56" s="357"/>
      <c r="U56" s="357"/>
    </row>
    <row r="57" spans="1:21" ht="21.95" customHeight="1" x14ac:dyDescent="0.25">
      <c r="A57" s="51"/>
      <c r="B57" s="51"/>
      <c r="C57" s="52"/>
      <c r="E57" s="23" t="s">
        <v>175</v>
      </c>
      <c r="F57" s="247">
        <v>52.45</v>
      </c>
      <c r="G57" s="247">
        <v>56.243333333333332</v>
      </c>
      <c r="H57" s="335">
        <v>120</v>
      </c>
      <c r="I57" s="49">
        <v>6749.2</v>
      </c>
      <c r="J57" s="373">
        <v>-455.19999999999982</v>
      </c>
      <c r="K57" s="359">
        <v>-6.7445030522135893E-2</v>
      </c>
      <c r="L57" s="373">
        <v>749.6800000000012</v>
      </c>
      <c r="M57">
        <v>40</v>
      </c>
      <c r="N57" s="370" t="str">
        <f>HYPERLINK("http://finance.yahoo.com/q?s=" &amp; E57, "Link")</f>
        <v>Link</v>
      </c>
      <c r="O57" s="369">
        <v>2.7300000000000001E-2</v>
      </c>
      <c r="P57" s="369">
        <v>-5.1000000000000004E-3</v>
      </c>
      <c r="Q57" s="151"/>
      <c r="R57" s="49"/>
      <c r="S57" s="49"/>
    </row>
    <row r="58" spans="1:21" ht="21.95" customHeight="1" x14ac:dyDescent="0.25">
      <c r="A58" s="51"/>
      <c r="B58" s="51"/>
      <c r="C58" s="52"/>
      <c r="E58" s="23" t="s">
        <v>53</v>
      </c>
      <c r="F58" s="247">
        <v>68.8</v>
      </c>
      <c r="G58" s="247">
        <v>68.8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7.4000000000000003E-3</v>
      </c>
      <c r="P58" s="369">
        <v>6.9999999999999999E-4</v>
      </c>
      <c r="Q58" s="151"/>
      <c r="R58" s="49"/>
      <c r="S58" s="49"/>
    </row>
    <row r="59" spans="1:21" ht="21.95" customHeight="1" x14ac:dyDescent="0.25">
      <c r="A59" s="61"/>
      <c r="B59" s="62"/>
      <c r="C59" s="61"/>
      <c r="E59" s="23"/>
      <c r="H59" s="335"/>
      <c r="J59" s="373"/>
      <c r="K59" s="359"/>
      <c r="L59" s="373"/>
      <c r="N59" s="370"/>
      <c r="O59" s="369"/>
      <c r="P59" s="369"/>
      <c r="R59" s="49"/>
    </row>
    <row r="60" spans="1:21" ht="21.95" customHeight="1" x14ac:dyDescent="0.25">
      <c r="A60" s="51"/>
      <c r="B60" s="51"/>
      <c r="C60" s="52"/>
      <c r="E60" s="23"/>
      <c r="J60" s="373"/>
      <c r="K60" s="359"/>
      <c r="N60" s="370"/>
      <c r="Q60" s="446"/>
      <c r="R60" s="49"/>
      <c r="S60" s="49"/>
    </row>
  </sheetData>
  <sortState ref="A2:V60">
    <sortCondition ref="E1"/>
  </sortState>
  <dataConsolidate/>
  <conditionalFormatting sqref="O1:O1048576">
    <cfRule type="expression" dxfId="131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14" priority="13">
      <formula>$H2=0</formula>
    </cfRule>
  </conditionalFormatting>
  <conditionalFormatting sqref="J2:K200">
    <cfRule type="expression" dxfId="1313" priority="14">
      <formula>$J2=0</formula>
    </cfRule>
  </conditionalFormatting>
  <conditionalFormatting sqref="L1:L1048576">
    <cfRule type="expression" dxfId="1312" priority="12">
      <formula>$L2=0</formula>
    </cfRule>
  </conditionalFormatting>
  <conditionalFormatting sqref="M1">
    <cfRule type="expression" dxfId="1311" priority="8">
      <formula>$L2=0</formula>
    </cfRule>
  </conditionalFormatting>
  <conditionalFormatting sqref="J2:K58">
    <cfRule type="expression" dxfId="1310" priority="56">
      <formula>$J2&gt;0</formula>
    </cfRule>
  </conditionalFormatting>
  <conditionalFormatting sqref="L2:L58">
    <cfRule type="expression" dxfId="1309" priority="10">
      <formula>$L2&lt;0</formula>
    </cfRule>
    <cfRule type="expression" dxfId="1308" priority="11">
      <formula>$L2&gt;0</formula>
    </cfRule>
  </conditionalFormatting>
  <conditionalFormatting sqref="J2:K458">
    <cfRule type="expression" dxfId="1307" priority="55">
      <formula>$J2&lt;0</formula>
    </cfRule>
  </conditionalFormatting>
  <conditionalFormatting sqref="P1:P1048576">
    <cfRule type="expression" dxfId="130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10" location="BIIB!A1" display="BIIB"/>
    <hyperlink ref="E39" location="MYL!A1" display="MYL"/>
    <hyperlink ref="E45" location="SIG!A1" display="SIG"/>
    <hyperlink ref="E3" location="AAPL!A1" display="AAPL"/>
    <hyperlink ref="E9" location="AXP!A1" display="AXP"/>
    <hyperlink ref="E19" location="DG!A1" display="DG"/>
    <hyperlink ref="E44" location="PINC!A1" display="PINC"/>
    <hyperlink ref="E23" location="FOXA!A1" display="FOXA"/>
    <hyperlink ref="E6" location="AOBC!A1" display="AOBC"/>
    <hyperlink ref="E35" location="LUV!A1" display="LUV"/>
    <hyperlink ref="E13" location="CCE!A1" display="CCE"/>
    <hyperlink ref="E11" location="BMY!A1" display="BMY"/>
    <hyperlink ref="E4" location="AKAM!A1" display="AKAM"/>
    <hyperlink ref="E7" location="ARNC!A1" display="ARNC"/>
    <hyperlink ref="E17" location="CVS!A1" display="CVS"/>
    <hyperlink ref="E37" location="MRO!A1" display="MRO"/>
    <hyperlink ref="E34" location="KR!A1" display="KR"/>
    <hyperlink ref="E22" location="F!A1" display="F"/>
    <hyperlink ref="E31" location="JNJ!A1" display="JNJ"/>
    <hyperlink ref="E16" location="CPN!A1" display="CPN"/>
    <hyperlink ref="E21" location="EW!A1" display="EW"/>
    <hyperlink ref="E41" location="NKE!A1" display="NKE"/>
    <hyperlink ref="E36" location="MOS!A1" display="MOS"/>
    <hyperlink ref="E56" location="VGK!A1" display="VGK"/>
    <hyperlink ref="E38" location="MU!A1" display="MU"/>
    <hyperlink ref="E30" location="IP!A1" display="IP"/>
    <hyperlink ref="E29" location="INTC!A1" display="INTC"/>
    <hyperlink ref="E28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5" location="CNI!A1" display="CNI"/>
    <hyperlink ref="E57" location="WFC!A1" display="WFC"/>
    <hyperlink ref="E2" location="AA!A1" display="AA"/>
    <hyperlink ref="E32" location="KATE!A1" display="KATE"/>
    <hyperlink ref="E14" location="CF!A1" display="CF"/>
    <hyperlink ref="E49" location="TGT!A1" display="TGT"/>
    <hyperlink ref="E43" location="NWL!A1" display="NWL"/>
    <hyperlink ref="E33" location="KORS!A1" display="KORS"/>
    <hyperlink ref="E5" location="ALL!A1" display="ALL"/>
    <hyperlink ref="E42" location="NSC!A1" display="NSC"/>
    <hyperlink ref="E8" location="AVGO!A1" display="AVGO"/>
    <hyperlink ref="E52" location="UAL!A1" display="UAL"/>
    <hyperlink ref="E12" location="CAH!A1" display="CAH"/>
    <hyperlink ref="E18" location="DAL!A1" display="DAL"/>
    <hyperlink ref="E48" location="TEVA!A1" display="TEVA"/>
    <hyperlink ref="E20" location="DIS!A1" display="DIS"/>
    <hyperlink ref="E24" location="FTR!A1" display="FTR"/>
    <hyperlink ref="E25" location="GILD!A1" display="GILD"/>
    <hyperlink ref="E58" location="WWD!A1" display="WWD"/>
    <hyperlink ref="E26" location="GIS!A1" display="GIS"/>
    <hyperlink ref="E27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29" activePane="bottomLeft" state="frozen"/>
      <selection activeCell="E5" sqref="E5"/>
      <selection pane="bottomLeft" activeCell="B257" sqref="B257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3" t="s">
        <v>410</v>
      </c>
      <c r="B148" s="694">
        <v>42767</v>
      </c>
      <c r="C148" s="695">
        <v>35</v>
      </c>
      <c r="D148" s="696">
        <v>69.58</v>
      </c>
      <c r="E148" s="696">
        <v>0</v>
      </c>
      <c r="F148" s="696">
        <f>C148*D148+E148</f>
        <v>2435.2999999999997</v>
      </c>
      <c r="G148" s="694">
        <v>42803</v>
      </c>
      <c r="H148" s="697">
        <v>35</v>
      </c>
      <c r="I148" s="696">
        <v>87.78</v>
      </c>
      <c r="J148" s="696">
        <v>7.0000000000000007E-2</v>
      </c>
      <c r="K148" s="696">
        <f>I148*H148-J148</f>
        <v>3072.23</v>
      </c>
      <c r="L148" s="694">
        <v>42829</v>
      </c>
      <c r="M148" s="695">
        <v>14.44</v>
      </c>
      <c r="N148" s="698"/>
      <c r="O148" s="699"/>
    </row>
    <row r="149" spans="1:17" ht="18" customHeight="1" x14ac:dyDescent="0.25">
      <c r="A149" s="700"/>
      <c r="B149" s="695"/>
      <c r="C149" s="700">
        <f>SUM(C148:C148)</f>
        <v>35</v>
      </c>
      <c r="D149" s="701"/>
      <c r="E149" s="701"/>
      <c r="F149" s="701">
        <f>SUM(F148:F148)</f>
        <v>2435.2999999999997</v>
      </c>
      <c r="G149" s="700"/>
      <c r="H149" s="700">
        <f>SUM(H148:H148)</f>
        <v>35</v>
      </c>
      <c r="I149" s="701"/>
      <c r="J149" s="701"/>
      <c r="K149" s="701">
        <f>SUM(K148:K148)</f>
        <v>3072.23</v>
      </c>
      <c r="L149" s="700"/>
      <c r="M149" s="701">
        <f>SUM(M148:M148)</f>
        <v>14.44</v>
      </c>
      <c r="N149" s="691">
        <f>K149-F149</f>
        <v>636.93000000000029</v>
      </c>
      <c r="O149" s="692">
        <f>(N149+M149)/F149</f>
        <v>0.26747012688375166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2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2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824.45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1010.7200000000001</v>
      </c>
    </row>
    <row r="248" spans="1:20" ht="18" customHeight="1" x14ac:dyDescent="0.25">
      <c r="M248" s="26" t="s">
        <v>130</v>
      </c>
      <c r="N248" s="144">
        <f>SUM(ACTIVE!L:L)</f>
        <v>19221.918000001377</v>
      </c>
    </row>
    <row r="250" spans="1:20" ht="18" customHeight="1" x14ac:dyDescent="0.25">
      <c r="M250" s="26" t="s">
        <v>144</v>
      </c>
      <c r="N250" s="144">
        <f>SUM(N245:N248)</f>
        <v>17764.558000001445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17764.530000000028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-1.9999985815957189E-3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1010.7200000000001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305" priority="5">
      <formula>#REF!&gt;0</formula>
    </cfRule>
    <cfRule type="expression" dxfId="130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02"/>
  <sheetViews>
    <sheetView topLeftCell="F1" zoomScaleNormal="100" workbookViewId="0">
      <pane ySplit="1" topLeftCell="A383" activePane="bottomLeft" state="frozen"/>
      <selection pane="bottomLeft" activeCell="X395" sqref="X395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17764.530000000028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6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401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401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  <row r="393" spans="2:23" ht="20.100000000000001" customHeight="1" x14ac:dyDescent="0.25">
      <c r="B393" s="175">
        <v>42829</v>
      </c>
      <c r="C393" s="219">
        <v>2360.16</v>
      </c>
      <c r="D393" s="174">
        <f t="shared" ref="D393" si="437">(C393-C392)/C392</f>
        <v>5.5959709009500806E-4</v>
      </c>
      <c r="E393" s="213">
        <f t="shared" ref="E393" si="438">(C393-$C$2)/$C$2</f>
        <v>0.12258138163276945</v>
      </c>
      <c r="F393" s="223">
        <v>5898.6</v>
      </c>
      <c r="G393" s="174">
        <f t="shared" si="400"/>
        <v>6.6500641256184774E-4</v>
      </c>
      <c r="H393" s="207">
        <f t="shared" ref="H393" si="439">(F393-F$2)/F$2</f>
        <v>0.15847359428088861</v>
      </c>
      <c r="I393" s="225">
        <v>422816.59</v>
      </c>
      <c r="J393" s="176">
        <v>400000</v>
      </c>
      <c r="K393" s="176">
        <f t="shared" ref="K393" si="440">I393-I392-J393+J392</f>
        <v>2027.7300000000396</v>
      </c>
      <c r="L393" s="174">
        <f t="shared" si="391"/>
        <v>4.8188775719966532E-3</v>
      </c>
      <c r="M393" s="186">
        <f t="shared" ref="M393" si="441">I393-J393</f>
        <v>22816.590000000026</v>
      </c>
      <c r="N393" s="188">
        <f t="shared" ref="N393" si="442">M393/J393</f>
        <v>5.7041475000000064E-2</v>
      </c>
      <c r="O393" s="186" t="b">
        <f t="shared" ref="O393" si="443">L393&gt;D393</f>
        <v>1</v>
      </c>
      <c r="P393" s="188">
        <f>COUNTIF(O$2:O393, TRUE)/(COUNTIF(O$2:O393,FALSE) + COUNTIF(O$2:O393, TRUE))</f>
        <v>0.48979591836734693</v>
      </c>
      <c r="Q393" s="176">
        <v>279812.09999999998</v>
      </c>
      <c r="R393" s="176">
        <f t="shared" ref="R393" si="444">I393-Q393</f>
        <v>143004.49000000005</v>
      </c>
      <c r="S393" s="176">
        <v>-31748</v>
      </c>
      <c r="T393" s="176">
        <f t="shared" ref="T393" si="445">M393-S393</f>
        <v>54564.590000000026</v>
      </c>
      <c r="U393" s="188">
        <f>STDEV(D$2:D393)*SQRT(252)</f>
        <v>0.15354632404261861</v>
      </c>
      <c r="V393" s="188">
        <f>STDEV(L$2:L393)*SQRT(252)</f>
        <v>0.33305315734956037</v>
      </c>
      <c r="W393" s="186">
        <f t="shared" ref="W393" si="446">N393/V393</f>
        <v>0.17126838086129123</v>
      </c>
    </row>
    <row r="394" spans="2:23" ht="20.100000000000001" customHeight="1" x14ac:dyDescent="0.25">
      <c r="B394" s="175">
        <v>42830</v>
      </c>
      <c r="C394" s="219">
        <v>2352.9499999999998</v>
      </c>
      <c r="D394" s="174">
        <f t="shared" ref="D394:D398" si="447">(C394-C393)/C393</f>
        <v>-3.054877635414564E-3</v>
      </c>
      <c r="E394" s="213">
        <f t="shared" ref="E394" si="448">(C394-$C$2)/$C$2</f>
        <v>0.11915203287608672</v>
      </c>
      <c r="F394" s="223">
        <v>5864.47</v>
      </c>
      <c r="G394" s="174">
        <f t="shared" si="400"/>
        <v>-5.7861187400400273E-3</v>
      </c>
      <c r="H394" s="207">
        <f t="shared" ref="H394" si="449">(F394-F$2)/F$2</f>
        <v>0.15177052850717845</v>
      </c>
      <c r="I394" s="225">
        <v>421093.29</v>
      </c>
      <c r="J394" s="176">
        <v>400000</v>
      </c>
      <c r="K394" s="176">
        <f t="shared" ref="K394" si="450">I394-I393-J394+J393</f>
        <v>-1723.3000000000466</v>
      </c>
      <c r="L394" s="174">
        <f t="shared" si="391"/>
        <v>-4.0757624955067313E-3</v>
      </c>
      <c r="M394" s="186">
        <f t="shared" ref="M394" si="451">I394-J394</f>
        <v>21093.289999999979</v>
      </c>
      <c r="N394" s="188">
        <f t="shared" ref="N394" si="452">M394/J394</f>
        <v>5.2733224999999946E-2</v>
      </c>
      <c r="O394" s="186" t="b">
        <f t="shared" ref="O394" si="453">L394&gt;D394</f>
        <v>0</v>
      </c>
      <c r="P394" s="188">
        <f>COUNTIF(O$2:O394, TRUE)/(COUNTIF(O$2:O394,FALSE) + COUNTIF(O$2:O394, TRUE))</f>
        <v>0.48854961832061067</v>
      </c>
      <c r="Q394" s="176">
        <v>275976.95</v>
      </c>
      <c r="R394" s="176">
        <f t="shared" ref="R394" si="454">I394-Q394</f>
        <v>145116.33999999997</v>
      </c>
      <c r="S394" s="176">
        <v>-31864</v>
      </c>
      <c r="T394" s="176">
        <f t="shared" ref="T394" si="455">M394-S394</f>
        <v>52957.289999999979</v>
      </c>
      <c r="U394" s="188">
        <f>STDEV(D$2:D394)*SQRT(252)</f>
        <v>0.15337403613806713</v>
      </c>
      <c r="V394" s="188">
        <f>STDEV(L$2:L394)*SQRT(252)</f>
        <v>0.33264809996553257</v>
      </c>
      <c r="W394" s="186">
        <f t="shared" ref="W394" si="456">N394/V394</f>
        <v>0.15852555600186477</v>
      </c>
    </row>
    <row r="395" spans="2:23" ht="20.100000000000001" customHeight="1" x14ac:dyDescent="0.25">
      <c r="B395" s="175">
        <v>42831</v>
      </c>
      <c r="C395" s="219">
        <v>2357.4899999999998</v>
      </c>
      <c r="D395" s="174">
        <f t="shared" si="447"/>
        <v>1.9294927644021181E-3</v>
      </c>
      <c r="E395" s="213">
        <f t="shared" ref="E395" si="457">(C395-$C$2)/$C$2</f>
        <v>0.12131142862578705</v>
      </c>
      <c r="F395" s="223">
        <v>5878.95</v>
      </c>
      <c r="G395" s="174">
        <f t="shared" si="400"/>
        <v>2.4691063301542277E-3</v>
      </c>
      <c r="H395" s="207">
        <f t="shared" ref="H395" si="458">(F395-F$2)/F$2</f>
        <v>0.15461437241000059</v>
      </c>
      <c r="I395" s="225">
        <v>424138.1</v>
      </c>
      <c r="J395" s="176">
        <v>400000</v>
      </c>
      <c r="K395" s="176">
        <f t="shared" ref="K395" si="459">I395-I394-J395+J394</f>
        <v>3044.8099999999977</v>
      </c>
      <c r="L395" s="174">
        <f t="shared" si="391"/>
        <v>7.2307255240281736E-3</v>
      </c>
      <c r="M395" s="186">
        <f t="shared" ref="M395" si="460">I395-J395</f>
        <v>24138.099999999977</v>
      </c>
      <c r="N395" s="188">
        <f t="shared" ref="N395" si="461">M395/J395</f>
        <v>6.0345249999999941E-2</v>
      </c>
      <c r="O395" s="186" t="b">
        <f t="shared" ref="O395" si="462">L395&gt;D395</f>
        <v>1</v>
      </c>
      <c r="P395" s="188">
        <f>COUNTIF(O$2:O395, TRUE)/(COUNTIF(O$2:O395,FALSE) + COUNTIF(O$2:O395, TRUE))</f>
        <v>0.48984771573604063</v>
      </c>
      <c r="Q395" s="176">
        <v>278419.3</v>
      </c>
      <c r="R395" s="176">
        <f t="shared" ref="R395" si="463">I395-Q395</f>
        <v>145718.79999999999</v>
      </c>
      <c r="S395" s="176">
        <v>-32100</v>
      </c>
      <c r="T395" s="176">
        <f t="shared" ref="T395" si="464">M395-S395</f>
        <v>56238.099999999977</v>
      </c>
      <c r="U395" s="188">
        <f>STDEV(D$2:D395)*SQRT(252)</f>
        <v>0.15318361130660466</v>
      </c>
      <c r="V395" s="188">
        <f>STDEV(L$2:L395)*SQRT(252)</f>
        <v>0.33226612910747538</v>
      </c>
      <c r="W395" s="186">
        <f t="shared" ref="W395" si="465">N395/V395</f>
        <v>0.18161721798757455</v>
      </c>
    </row>
    <row r="396" spans="2:23" ht="20.100000000000001" customHeight="1" x14ac:dyDescent="0.25">
      <c r="B396" s="175">
        <v>42832</v>
      </c>
      <c r="C396" s="219">
        <v>2355.54</v>
      </c>
      <c r="D396" s="174">
        <f t="shared" si="447"/>
        <v>-8.2715091050219439E-4</v>
      </c>
      <c r="E396" s="213">
        <f t="shared" ref="E396" si="466">(C396-$C$2)/$C$2</f>
        <v>0.12038393485664271</v>
      </c>
      <c r="F396" s="223">
        <v>5877.81</v>
      </c>
      <c r="G396" s="174">
        <f t="shared" si="400"/>
        <v>-1.9391217819498687E-4</v>
      </c>
      <c r="H396" s="207">
        <f t="shared" ref="H396" si="467">(F396-F$2)/F$2</f>
        <v>0.15439047862207134</v>
      </c>
      <c r="I396" s="225">
        <v>423331.5</v>
      </c>
      <c r="J396" s="176">
        <v>400000</v>
      </c>
      <c r="K396" s="176">
        <f t="shared" ref="K396" si="468">I396-I395-J396+J395</f>
        <v>-806.59999999997672</v>
      </c>
      <c r="L396" s="174">
        <f t="shared" si="391"/>
        <v>-1.901739079794946E-3</v>
      </c>
      <c r="M396" s="186">
        <f t="shared" ref="M396" si="469">I396-J396</f>
        <v>23331.5</v>
      </c>
      <c r="N396" s="188">
        <f t="shared" ref="N396" si="470">M396/J396</f>
        <v>5.8328749999999999E-2</v>
      </c>
      <c r="O396" s="186" t="b">
        <f t="shared" ref="O396" si="471">L396&gt;D396</f>
        <v>0</v>
      </c>
      <c r="P396" s="188">
        <f>COUNTIF(O$2:O396, TRUE)/(COUNTIF(O$2:O396,FALSE) + COUNTIF(O$2:O396, TRUE))</f>
        <v>0.48860759493670886</v>
      </c>
      <c r="Q396" s="176">
        <v>280798.7</v>
      </c>
      <c r="R396" s="176">
        <f t="shared" ref="R396" si="472">I396-Q396</f>
        <v>142532.79999999999</v>
      </c>
      <c r="S396" s="176">
        <v>-32984</v>
      </c>
      <c r="T396" s="176">
        <f t="shared" ref="T396" si="473">M396-S396</f>
        <v>56315.5</v>
      </c>
      <c r="U396" s="188">
        <f>STDEV(D$2:D396)*SQRT(252)</f>
        <v>0.15299143349186958</v>
      </c>
      <c r="V396" s="188">
        <f>STDEV(L$2:L396)*SQRT(252)</f>
        <v>0.33184917870470027</v>
      </c>
      <c r="W396" s="186">
        <f t="shared" ref="W396" si="474">N396/V396</f>
        <v>0.17576885447682392</v>
      </c>
    </row>
    <row r="397" spans="2:23" ht="20.100000000000001" customHeight="1" x14ac:dyDescent="0.25">
      <c r="B397" s="248">
        <v>42835</v>
      </c>
      <c r="C397" s="338">
        <v>2357.16</v>
      </c>
      <c r="D397" s="174">
        <f t="shared" si="447"/>
        <v>6.8774039073838311E-4</v>
      </c>
      <c r="E397" s="250">
        <f t="shared" ref="E397" si="475">(C397-$C$2)/$C$2</f>
        <v>0.12115446814177802</v>
      </c>
      <c r="F397" s="251">
        <v>5880.92</v>
      </c>
      <c r="G397" s="174">
        <f t="shared" si="400"/>
        <v>5.2910863059535309E-4</v>
      </c>
      <c r="H397" s="252">
        <f t="shared" ref="H397" si="476">(F397-F$2)/F$2</f>
        <v>0.15500127658738738</v>
      </c>
      <c r="I397" s="569">
        <v>425409.3</v>
      </c>
      <c r="J397" s="254">
        <v>400000</v>
      </c>
      <c r="K397" s="254">
        <f t="shared" ref="K397" si="477">I397-I396-J397+J396</f>
        <v>2077.7999999999884</v>
      </c>
      <c r="L397" s="174">
        <f t="shared" si="391"/>
        <v>4.9082102324064904E-3</v>
      </c>
      <c r="M397" s="603">
        <f t="shared" ref="M397" si="478">I397-J397</f>
        <v>25409.299999999988</v>
      </c>
      <c r="N397" s="256">
        <f t="shared" ref="N397" si="479">M397/J397</f>
        <v>6.3523249999999976E-2</v>
      </c>
      <c r="O397" s="255" t="b">
        <f t="shared" ref="O397" si="480">L397&gt;D397</f>
        <v>1</v>
      </c>
      <c r="P397" s="256">
        <f>COUNTIF(O$2:O397, TRUE)/(COUNTIF(O$2:O397,FALSE) + COUNTIF(O$2:O397, TRUE))</f>
        <v>0.48989898989898989</v>
      </c>
      <c r="Q397" s="254">
        <v>285684.5</v>
      </c>
      <c r="R397" s="254">
        <f t="shared" ref="R397" si="481">I397-Q397</f>
        <v>139724.79999999999</v>
      </c>
      <c r="S397" s="254">
        <v>-32983</v>
      </c>
      <c r="T397" s="254">
        <f t="shared" ref="T397" si="482">M397-S397</f>
        <v>58392.299999999988</v>
      </c>
      <c r="U397" s="256">
        <f>STDEV(D$2:D397)*SQRT(252)</f>
        <v>0.15279741867910826</v>
      </c>
      <c r="V397" s="256">
        <f>STDEV(L$2:L397)*SQRT(252)</f>
        <v>0.3314456683195206</v>
      </c>
      <c r="W397" s="255">
        <f t="shared" ref="W397" si="483">N397/V397</f>
        <v>0.19165509183472637</v>
      </c>
    </row>
    <row r="398" spans="2:23" ht="20.100000000000001" customHeight="1" x14ac:dyDescent="0.25">
      <c r="B398" s="248">
        <v>42836</v>
      </c>
      <c r="C398" s="338">
        <v>2353.7800000000002</v>
      </c>
      <c r="D398" s="174">
        <f t="shared" si="447"/>
        <v>-1.4339289653649539E-3</v>
      </c>
      <c r="E398" s="250">
        <f t="shared" ref="E398" si="484">(C398-$C$2)/$C$2</f>
        <v>0.11954681227526119</v>
      </c>
      <c r="F398" s="251">
        <v>5866.77</v>
      </c>
      <c r="G398" s="174">
        <f t="shared" si="400"/>
        <v>-2.4060861225793984E-3</v>
      </c>
      <c r="H398" s="252">
        <f t="shared" ref="H398" si="485">(F398-F$2)/F$2</f>
        <v>0.15222224404422896</v>
      </c>
      <c r="I398" s="569">
        <v>423985</v>
      </c>
      <c r="J398" s="254">
        <v>400000</v>
      </c>
      <c r="K398" s="254">
        <f t="shared" ref="K398" si="486">I398-I397-J398+J397</f>
        <v>-1424.2999999999884</v>
      </c>
      <c r="L398" s="174">
        <f t="shared" si="391"/>
        <v>-3.3480697295521947E-3</v>
      </c>
      <c r="M398" s="603">
        <f t="shared" ref="M398" si="487">I398-J398</f>
        <v>23985</v>
      </c>
      <c r="N398" s="256">
        <f t="shared" ref="N398" si="488">M398/J398</f>
        <v>5.9962500000000002E-2</v>
      </c>
      <c r="O398" s="255" t="b">
        <f t="shared" ref="O398" si="489">L398&gt;D398</f>
        <v>0</v>
      </c>
      <c r="P398" s="256">
        <f>COUNTIF(O$2:O398, TRUE)/(COUNTIF(O$2:O398,FALSE) + COUNTIF(O$2:O398, TRUE))</f>
        <v>0.48866498740554154</v>
      </c>
      <c r="Q398" s="254">
        <v>291945.2</v>
      </c>
      <c r="R398" s="254">
        <f t="shared" ref="R398" si="490">I398-Q398</f>
        <v>132039.79999999999</v>
      </c>
      <c r="S398" s="254">
        <v>-32982</v>
      </c>
      <c r="T398" s="254">
        <f t="shared" ref="T398" si="491">M398-S398</f>
        <v>56967</v>
      </c>
      <c r="U398" s="256">
        <f>STDEV(D$2:D398)*SQRT(252)</f>
        <v>0.15261041063464104</v>
      </c>
      <c r="V398" s="256">
        <f>STDEV(L$2:L398)*SQRT(252)</f>
        <v>0.33104089578978618</v>
      </c>
      <c r="W398" s="255">
        <f t="shared" ref="W398" si="492">N398/V398</f>
        <v>0.18113320971097391</v>
      </c>
    </row>
    <row r="399" spans="2:23" ht="20.100000000000001" customHeight="1" x14ac:dyDescent="0.25">
      <c r="B399" s="248">
        <v>42837</v>
      </c>
      <c r="C399" s="338">
        <v>2344.9299999999998</v>
      </c>
      <c r="D399" s="174">
        <f t="shared" ref="D399:D401" si="493">(C399-C398)/C398</f>
        <v>-3.7599095922305243E-3</v>
      </c>
      <c r="E399" s="250">
        <f t="shared" ref="E399" si="494">(C399-$C$2)/$C$2</f>
        <v>0.11533741747683633</v>
      </c>
      <c r="F399" s="251">
        <v>5836.16</v>
      </c>
      <c r="G399" s="174">
        <f t="shared" si="400"/>
        <v>-5.2175217368331432E-3</v>
      </c>
      <c r="H399" s="252">
        <f t="shared" ref="H399" si="495">(F399-F$2)/F$2</f>
        <v>0.14621049944026554</v>
      </c>
      <c r="I399" s="569">
        <v>422212.73</v>
      </c>
      <c r="J399" s="254">
        <v>400000</v>
      </c>
      <c r="K399" s="254">
        <f t="shared" ref="K399" si="496">I399-I398-J399+J398</f>
        <v>-1772.2700000000186</v>
      </c>
      <c r="L399" s="174">
        <f t="shared" si="391"/>
        <v>-4.1800299538899219E-3</v>
      </c>
      <c r="M399" s="603">
        <f t="shared" ref="M399" si="497">I399-J399</f>
        <v>22212.729999999981</v>
      </c>
      <c r="N399" s="256">
        <f t="shared" ref="N399" si="498">M399/J399</f>
        <v>5.5531824999999951E-2</v>
      </c>
      <c r="O399" s="255" t="b">
        <f t="shared" ref="O399" si="499">L399&gt;D399</f>
        <v>0</v>
      </c>
      <c r="P399" s="256">
        <f>COUNTIF(O$2:O399, TRUE)/(COUNTIF(O$2:O399,FALSE) + COUNTIF(O$2:O399, TRUE))</f>
        <v>0.48743718592964824</v>
      </c>
      <c r="Q399" s="254">
        <v>291946.2</v>
      </c>
      <c r="R399" s="254">
        <f t="shared" ref="R399" si="500">I399-Q399</f>
        <v>130266.52999999997</v>
      </c>
      <c r="S399" s="254">
        <v>-32526</v>
      </c>
      <c r="T399" s="254">
        <f t="shared" ref="T399" si="501">M399-S399</f>
        <v>54738.729999999981</v>
      </c>
      <c r="U399" s="256">
        <f>STDEV(D$2:D399)*SQRT(252)</f>
        <v>0.15245244674413128</v>
      </c>
      <c r="V399" s="256">
        <f>STDEV(L$2:L399)*SQRT(252)</f>
        <v>0.33064456752182653</v>
      </c>
      <c r="W399" s="255">
        <f t="shared" ref="W399" si="502">N399/V399</f>
        <v>0.16795021135901222</v>
      </c>
    </row>
    <row r="400" spans="2:23" ht="20.100000000000001" customHeight="1" x14ac:dyDescent="0.25">
      <c r="B400" s="248">
        <v>42838</v>
      </c>
      <c r="C400" s="338">
        <v>2328.9499999999998</v>
      </c>
      <c r="D400" s="174">
        <f t="shared" si="493"/>
        <v>-6.8147023578529076E-3</v>
      </c>
      <c r="E400" s="250">
        <f t="shared" ref="E400" si="503">(C400-$C$2)/$C$2</f>
        <v>0.10773672494815537</v>
      </c>
      <c r="F400" s="251">
        <v>5805.15</v>
      </c>
      <c r="G400" s="174">
        <f t="shared" si="400"/>
        <v>-5.3134252659283194E-3</v>
      </c>
      <c r="H400" s="252">
        <f t="shared" ref="H400" si="504">(F400-F$2)/F$2</f>
        <v>0.14012019561246733</v>
      </c>
      <c r="I400" s="569">
        <v>418306.53</v>
      </c>
      <c r="J400" s="254">
        <v>400000</v>
      </c>
      <c r="K400" s="254">
        <f t="shared" ref="K400" si="505">I400-I399-J400+J399</f>
        <v>-3906.1999999999534</v>
      </c>
      <c r="L400" s="174">
        <f t="shared" si="391"/>
        <v>-9.2517343093846405E-3</v>
      </c>
      <c r="M400" s="603">
        <f t="shared" ref="M400" si="506">I400-J400</f>
        <v>18306.530000000028</v>
      </c>
      <c r="N400" s="256">
        <f t="shared" ref="N400" si="507">M400/J400</f>
        <v>4.5766325000000073E-2</v>
      </c>
      <c r="O400" s="255" t="b">
        <f t="shared" ref="O400" si="508">L400&gt;D400</f>
        <v>0</v>
      </c>
      <c r="P400" s="256">
        <f>COUNTIF(O$2:O400, TRUE)/(COUNTIF(O$2:O400,FALSE) + COUNTIF(O$2:O400, TRUE))</f>
        <v>0.48621553884711777</v>
      </c>
      <c r="Q400" s="254">
        <v>286240.8</v>
      </c>
      <c r="R400" s="254">
        <f t="shared" ref="R400" si="509">I400-Q400</f>
        <v>132065.73000000004</v>
      </c>
      <c r="S400" s="254">
        <v>-33099</v>
      </c>
      <c r="T400" s="254">
        <f t="shared" ref="T400" si="510">M400-S400</f>
        <v>51405.530000000028</v>
      </c>
      <c r="U400" s="256">
        <f>STDEV(D$2:D400)*SQRT(252)</f>
        <v>0.15236615023728597</v>
      </c>
      <c r="V400" s="256">
        <f>STDEV(L$2:L400)*SQRT(252)</f>
        <v>0.33032064931831551</v>
      </c>
      <c r="W400" s="255">
        <f t="shared" ref="W400" si="511">N400/V400</f>
        <v>0.138551208029072</v>
      </c>
    </row>
    <row r="401" spans="2:23" ht="20.100000000000001" customHeight="1" x14ac:dyDescent="0.25">
      <c r="B401" s="175">
        <v>42842</v>
      </c>
      <c r="C401" s="219">
        <v>2349.0100000000002</v>
      </c>
      <c r="D401" s="174">
        <f t="shared" si="493"/>
        <v>8.6133236007644651E-3</v>
      </c>
      <c r="E401" s="213">
        <f t="shared" ref="E401" si="512">(C401-$C$2)/$C$2</f>
        <v>0.11727801982458484</v>
      </c>
      <c r="F401" s="223">
        <v>5856.78</v>
      </c>
      <c r="G401" s="174">
        <f t="shared" si="400"/>
        <v>8.8938270328932263E-3</v>
      </c>
      <c r="H401" s="207">
        <f t="shared" ref="H401" si="513">(F401-F$2)/F$2</f>
        <v>0.15026022742895298</v>
      </c>
      <c r="I401" s="225">
        <v>420202.33</v>
      </c>
      <c r="J401" s="176">
        <v>400000</v>
      </c>
      <c r="K401" s="176">
        <f t="shared" ref="K401" si="514">I401-I400-J401+J400</f>
        <v>1895.7999999999884</v>
      </c>
      <c r="L401" s="174">
        <f t="shared" si="391"/>
        <v>4.5320832070204313E-3</v>
      </c>
      <c r="M401" s="186">
        <f t="shared" ref="M401" si="515">I401-J401</f>
        <v>20202.330000000016</v>
      </c>
      <c r="N401" s="188">
        <f t="shared" ref="N401" si="516">M401/J401</f>
        <v>5.0505825000000039E-2</v>
      </c>
      <c r="O401" s="186" t="b">
        <f t="shared" ref="O401" si="517">L401&gt;D401</f>
        <v>0</v>
      </c>
      <c r="P401" s="188">
        <f>COUNTIF(O$2:O401, TRUE)/(COUNTIF(O$2:O401,FALSE) + COUNTIF(O$2:O401, TRUE))</f>
        <v>0.48499999999999999</v>
      </c>
      <c r="Q401" s="176">
        <v>288136.59999999998</v>
      </c>
      <c r="R401" s="176">
        <f t="shared" ref="R401" si="518">I401-Q401</f>
        <v>132065.73000000004</v>
      </c>
      <c r="S401" s="176">
        <v>-32580</v>
      </c>
      <c r="T401" s="176">
        <f t="shared" ref="T401" si="519">M401-S401</f>
        <v>52782.330000000016</v>
      </c>
      <c r="U401" s="188">
        <f>STDEV(D$2:D401)*SQRT(252)</f>
        <v>0.15231786401444669</v>
      </c>
      <c r="V401" s="188">
        <f>STDEV(L$2:L401)*SQRT(252)</f>
        <v>0.32992050318629979</v>
      </c>
      <c r="W401" s="186">
        <f t="shared" ref="W401" si="520">N401/V401</f>
        <v>0.15308483259520361</v>
      </c>
    </row>
    <row r="402" spans="2:23" ht="20.100000000000001" customHeight="1" x14ac:dyDescent="0.25">
      <c r="B402" s="175">
        <v>42843</v>
      </c>
      <c r="C402" s="219">
        <v>2342.19</v>
      </c>
      <c r="D402" s="174">
        <f t="shared" ref="D402" si="521">(C402-C401)/C401</f>
        <v>-2.9033507733045678E-3</v>
      </c>
      <c r="E402" s="213">
        <f t="shared" ref="E402" si="522">(C402-$C$2)/$C$2</f>
        <v>0.11403416982173094</v>
      </c>
      <c r="F402" s="223">
        <v>5849.47</v>
      </c>
      <c r="G402" s="174">
        <f t="shared" ref="G402" si="523">(F402-F401)/F401</f>
        <v>-1.2481261034219299E-3</v>
      </c>
      <c r="H402" s="207">
        <f t="shared" ref="H402" si="524">(F402-F$2)/F$2</f>
        <v>0.14882455761337088</v>
      </c>
      <c r="I402" s="225">
        <v>417764.53</v>
      </c>
      <c r="J402" s="176">
        <v>400000</v>
      </c>
      <c r="K402" s="176">
        <f t="shared" ref="K402" si="525">I402-I401-J402+J401</f>
        <v>-2437.7999999999884</v>
      </c>
      <c r="L402" s="174">
        <f t="shared" ref="L402" si="526">K402/I401</f>
        <v>-5.801490915102704E-3</v>
      </c>
      <c r="M402" s="186">
        <f t="shared" ref="M402" si="527">I402-J402</f>
        <v>17764.530000000028</v>
      </c>
      <c r="N402" s="188">
        <f t="shared" ref="N402" si="528">M402/J402</f>
        <v>4.4411325000000071E-2</v>
      </c>
      <c r="O402" s="186" t="b">
        <f t="shared" ref="O402" si="529">L402&gt;D402</f>
        <v>0</v>
      </c>
      <c r="P402" s="188">
        <f>COUNTIF(O$2:O402, TRUE)/(COUNTIF(O$2:O402,FALSE) + COUNTIF(O$2:O402, TRUE))</f>
        <v>0.48379052369077308</v>
      </c>
      <c r="Q402" s="176">
        <v>290653.2</v>
      </c>
      <c r="R402" s="176">
        <f t="shared" ref="R402" si="530">I402-Q402</f>
        <v>127111.33000000002</v>
      </c>
      <c r="S402" s="176">
        <v>-32684</v>
      </c>
      <c r="T402" s="176">
        <f t="shared" ref="T402" si="531">M402-S402</f>
        <v>50448.530000000028</v>
      </c>
      <c r="U402" s="188">
        <f>STDEV(D$2:D402)*SQRT(252)</f>
        <v>0.15214843271809947</v>
      </c>
      <c r="V402" s="188">
        <f>STDEV(L$2:L402)*SQRT(252)</f>
        <v>0.32954563372803763</v>
      </c>
      <c r="W402" s="186">
        <f t="shared" ref="W402" si="532">N402/V402</f>
        <v>0.13476532672452632</v>
      </c>
    </row>
  </sheetData>
  <conditionalFormatting sqref="D3:D402">
    <cfRule type="colorScale" priority="3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02">
    <cfRule type="colorScale" priority="2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02">
    <cfRule type="colorScale" priority="2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02">
    <cfRule type="colorScale" priority="34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03:L1048576">
    <cfRule type="colorScale" priority="57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7">
        <f>AC2/AC3-1</f>
        <v>-1.3856476079346591E-2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271.16000000000003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7">
        <f t="shared" ref="AE3:AE66" si="1">AC3/AC4-1</f>
        <v>5.6841101617222112E-3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271.16000000000003</v>
      </c>
      <c r="R4" s="517">
        <v>-1.0500000000000001E-2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7">
        <f t="shared" si="1"/>
        <v>-2.6698851583645267E-3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7">
        <f t="shared" si="1"/>
        <v>1.6204564037761049E-2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7">
        <f t="shared" si="1"/>
        <v>1.9737087103863793E-3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7">
        <f t="shared" si="1"/>
        <v>-2.0356791069278901E-2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7">
        <f t="shared" si="1"/>
        <v>-4.0693238382444319E-3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7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7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7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7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7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7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7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7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7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7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7">
        <f t="shared" si="1"/>
        <v>2.4295099917874818E-3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7">
        <f t="shared" si="1"/>
        <v>-2.7980618303419247E-3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7">
        <f t="shared" si="1"/>
        <v>-3.5023292189464428E-3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7">
        <f t="shared" si="1"/>
        <v>1.0271384403984785E-2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7">
        <f t="shared" si="1"/>
        <v>-1.5423121152675412E-2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7">
        <f t="shared" si="1"/>
        <v>-7.3526943092160346E-3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7">
        <f t="shared" si="1"/>
        <v>1.4510030995606327E-2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7">
        <f t="shared" si="1"/>
        <v>1.1252813203299628E-3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7">
        <f t="shared" si="1"/>
        <v>1.6146916146916102E-2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7">
        <f t="shared" si="1"/>
        <v>-8.6902758217977105E-3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7">
        <f t="shared" si="1"/>
        <v>2.1043033002489997E-2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7">
        <f t="shared" si="1"/>
        <v>1.3345039508341205E-3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7">
        <f t="shared" si="1"/>
        <v>-1.0012863748565803E-2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7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7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7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7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7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7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7">
        <f t="shared" si="1"/>
        <v>1.5104090842917639E-2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7">
        <f t="shared" si="1"/>
        <v>1.5973968347877454E-2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7">
        <f t="shared" si="1"/>
        <v>6.3258167745776639E-3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7">
        <f t="shared" si="1"/>
        <v>9.8831310360376623E-3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7">
        <f t="shared" si="1"/>
        <v>4.5298403231286422E-3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298.27600000000007</v>
      </c>
      <c r="Q43" s="2"/>
      <c r="T43" s="428" t="s">
        <v>98</v>
      </c>
      <c r="U43" s="494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7">
        <f t="shared" si="1"/>
        <v>9.0678958703294121E-4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295.56440000000003</v>
      </c>
      <c r="Q44" s="2"/>
      <c r="T44" s="428" t="s">
        <v>99</v>
      </c>
      <c r="U44" s="494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7">
        <f t="shared" si="1"/>
        <v>1.665215910381157E-3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292.85280000000006</v>
      </c>
      <c r="Q45" s="2"/>
      <c r="T45" s="428" t="s">
        <v>100</v>
      </c>
      <c r="U45" s="494" t="s">
        <v>633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7">
        <f t="shared" si="1"/>
        <v>-6.1983030991515475E-2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290.14120000000003</v>
      </c>
      <c r="Q46" s="2"/>
      <c r="T46" s="428" t="s">
        <v>101</v>
      </c>
      <c r="U46" s="494" t="s">
        <v>634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7">
        <f t="shared" si="1"/>
        <v>1.6051074880969463E-2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287.42960000000005</v>
      </c>
      <c r="Q47" s="2"/>
      <c r="T47" s="428" t="s">
        <v>102</v>
      </c>
      <c r="U47" s="494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7">
        <f t="shared" si="1"/>
        <v>4.2744330942547926E-3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284.71800000000002</v>
      </c>
      <c r="Q48" s="2"/>
      <c r="T48" s="428" t="s">
        <v>103</v>
      </c>
      <c r="U48" s="494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7">
        <f t="shared" si="1"/>
        <v>-7.7279752704790816E-3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282.00640000000004</v>
      </c>
      <c r="Q49" s="2"/>
      <c r="T49" s="428" t="s">
        <v>104</v>
      </c>
      <c r="U49" s="494" t="s">
        <v>581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7">
        <f t="shared" si="1"/>
        <v>-2.4382372978594136E-3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279.29480000000001</v>
      </c>
      <c r="Q50" s="2"/>
      <c r="T50" s="428"/>
      <c r="U50" s="494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7">
        <f t="shared" si="1"/>
        <v>2.0677792416922802E-2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276.58320000000003</v>
      </c>
      <c r="Q51" s="2"/>
      <c r="T51" s="428" t="s">
        <v>105</v>
      </c>
      <c r="U51" s="494" t="s">
        <v>635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7">
        <f t="shared" si="1"/>
        <v>-2.1181798261631357E-3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273.8716</v>
      </c>
      <c r="Q52" s="2"/>
      <c r="T52" s="428" t="s">
        <v>106</v>
      </c>
      <c r="U52" s="494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7">
        <f t="shared" si="1"/>
        <v>-7.9704369248604356E-3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271.16000000000003</v>
      </c>
      <c r="Q53" s="2"/>
      <c r="T53" s="428" t="s">
        <v>107</v>
      </c>
      <c r="U53" s="495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7">
        <f t="shared" si="1"/>
        <v>-1.6532459203306593E-2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268.44840000000005</v>
      </c>
      <c r="Q54" s="2"/>
      <c r="T54" s="428" t="s">
        <v>110</v>
      </c>
      <c r="U54" s="495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7">
        <f t="shared" si="1"/>
        <v>1.1057606563225075E-3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265.73680000000002</v>
      </c>
      <c r="Q55" s="2"/>
      <c r="T55" s="428" t="s">
        <v>108</v>
      </c>
      <c r="U55" s="494" t="s">
        <v>636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7">
        <f t="shared" si="1"/>
        <v>-1.1494658157328641E-2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263.02520000000004</v>
      </c>
      <c r="T56" s="428" t="s">
        <v>111</v>
      </c>
      <c r="U56" s="494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7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260.31360000000001</v>
      </c>
      <c r="T57" s="428" t="s">
        <v>112</v>
      </c>
      <c r="U57" s="494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7">
        <f t="shared" si="1"/>
        <v>-6.1106233538191779E-3</v>
      </c>
    </row>
    <row r="58" spans="1:31" x14ac:dyDescent="0.25">
      <c r="O58" s="82">
        <v>0.95</v>
      </c>
      <c r="P58" s="82">
        <f t="shared" si="5"/>
        <v>257.60200000000003</v>
      </c>
      <c r="T58" s="428" t="s">
        <v>109</v>
      </c>
      <c r="U58" s="494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7">
        <f t="shared" si="1"/>
        <v>-1.0494492129130895E-2</v>
      </c>
    </row>
    <row r="59" spans="1:31" x14ac:dyDescent="0.25">
      <c r="O59" s="82">
        <v>0.94</v>
      </c>
      <c r="P59" s="82">
        <f t="shared" si="5"/>
        <v>254.8904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7">
        <f t="shared" si="1"/>
        <v>2.2987705060777408E-3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252.17880000000002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7">
        <f t="shared" si="1"/>
        <v>-3.5864199603747648E-2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249.46720000000005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7">
        <f t="shared" si="1"/>
        <v>-4.1134372282789489E-3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246.75560000000004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7">
        <f t="shared" si="1"/>
        <v>1.3627118644067737E-2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244.04400000000004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7">
        <f t="shared" si="1"/>
        <v>4.8710699322138673E-3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7">
        <f t="shared" si="1"/>
        <v>-1.6323754463527518E-3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7">
        <f t="shared" si="1"/>
        <v>8.0216653525762016E-3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7">
        <f t="shared" si="1"/>
        <v>2.8669158614852863E-2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303" priority="58">
      <formula>F19&gt;0</formula>
    </cfRule>
    <cfRule type="expression" dxfId="130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01" priority="47">
      <formula>H25&gt;0</formula>
    </cfRule>
    <cfRule type="expression" dxfId="1300" priority="48">
      <formula>H25&lt;0</formula>
    </cfRule>
  </conditionalFormatting>
  <conditionalFormatting sqref="M39">
    <cfRule type="expression" dxfId="1299" priority="45">
      <formula>M39&gt;0</formula>
    </cfRule>
    <cfRule type="expression" dxfId="1298" priority="46">
      <formula>M39&lt;0</formula>
    </cfRule>
  </conditionalFormatting>
  <conditionalFormatting sqref="F61:F67">
    <cfRule type="expression" dxfId="1297" priority="43">
      <formula>F61&gt;0</formula>
    </cfRule>
    <cfRule type="expression" dxfId="1296" priority="44">
      <formula>F61&lt;0</formula>
    </cfRule>
  </conditionalFormatting>
  <conditionalFormatting sqref="H61:H67">
    <cfRule type="expression" dxfId="1295" priority="41">
      <formula>H61&gt;0</formula>
    </cfRule>
    <cfRule type="expression" dxfId="1294" priority="42">
      <formula>H61&lt;0</formula>
    </cfRule>
  </conditionalFormatting>
  <conditionalFormatting sqref="F21:F24">
    <cfRule type="expression" dxfId="1293" priority="39">
      <formula>F21&gt;0</formula>
    </cfRule>
    <cfRule type="expression" dxfId="1292" priority="40">
      <formula>F21&lt;0</formula>
    </cfRule>
  </conditionalFormatting>
  <conditionalFormatting sqref="H21:H24">
    <cfRule type="expression" dxfId="1291" priority="37">
      <formula>H21&gt;0</formula>
    </cfRule>
    <cfRule type="expression" dxfId="1290" priority="38">
      <formula>H21&lt;0</formula>
    </cfRule>
  </conditionalFormatting>
  <conditionalFormatting sqref="I25:I28">
    <cfRule type="expression" dxfId="1289" priority="31">
      <formula>I25&gt;0</formula>
    </cfRule>
    <cfRule type="expression" dxfId="1288" priority="32">
      <formula>I25&lt;0</formula>
    </cfRule>
  </conditionalFormatting>
  <conditionalFormatting sqref="I21:I24">
    <cfRule type="expression" dxfId="1287" priority="29">
      <formula>I21&gt;0</formula>
    </cfRule>
    <cfRule type="expression" dxfId="1286" priority="30">
      <formula>I21&lt;0</formula>
    </cfRule>
  </conditionalFormatting>
  <conditionalFormatting sqref="H29">
    <cfRule type="expression" dxfId="1285" priority="27">
      <formula>H29&gt;0</formula>
    </cfRule>
    <cfRule type="expression" dxfId="1284" priority="28">
      <formula>H29&lt;0</formula>
    </cfRule>
  </conditionalFormatting>
  <conditionalFormatting sqref="H30">
    <cfRule type="expression" dxfId="1283" priority="25">
      <formula>H30&gt;0</formula>
    </cfRule>
    <cfRule type="expression" dxfId="1282" priority="26">
      <formula>H30&lt;0</formula>
    </cfRule>
  </conditionalFormatting>
  <conditionalFormatting sqref="H31">
    <cfRule type="expression" dxfId="1281" priority="23">
      <formula>H31&gt;0</formula>
    </cfRule>
    <cfRule type="expression" dxfId="1280" priority="24">
      <formula>H31&lt;0</formula>
    </cfRule>
  </conditionalFormatting>
  <conditionalFormatting sqref="Q7">
    <cfRule type="expression" dxfId="1279" priority="21">
      <formula>Q7&gt;0</formula>
    </cfRule>
    <cfRule type="expression" dxfId="1278" priority="22">
      <formula>Q7&lt;0</formula>
    </cfRule>
  </conditionalFormatting>
  <conditionalFormatting sqref="Q8">
    <cfRule type="expression" dxfId="1277" priority="19">
      <formula>Q8&gt;0</formula>
    </cfRule>
    <cfRule type="expression" dxfId="1276" priority="20">
      <formula>Q8&lt;0</formula>
    </cfRule>
  </conditionalFormatting>
  <conditionalFormatting sqref="F73:F82">
    <cfRule type="expression" dxfId="1275" priority="17">
      <formula>F73&gt;0</formula>
    </cfRule>
    <cfRule type="expression" dxfId="1274" priority="18">
      <formula>F73&lt;0</formula>
    </cfRule>
  </conditionalFormatting>
  <conditionalFormatting sqref="H73:H76">
    <cfRule type="expression" dxfId="1273" priority="15">
      <formula>H73&gt;0</formula>
    </cfRule>
    <cfRule type="expression" dxfId="1272" priority="16">
      <formula>H73&lt;0</formula>
    </cfRule>
  </conditionalFormatting>
  <conditionalFormatting sqref="F69:F72">
    <cfRule type="expression" dxfId="1271" priority="13">
      <formula>F69&gt;0</formula>
    </cfRule>
    <cfRule type="expression" dxfId="1270" priority="14">
      <formula>F69&lt;0</formula>
    </cfRule>
  </conditionalFormatting>
  <conditionalFormatting sqref="H69:H72">
    <cfRule type="expression" dxfId="1269" priority="11">
      <formula>H69&gt;0</formula>
    </cfRule>
    <cfRule type="expression" dxfId="1268" priority="12">
      <formula>H69&lt;0</formula>
    </cfRule>
  </conditionalFormatting>
  <conditionalFormatting sqref="I73:I76">
    <cfRule type="expression" dxfId="1267" priority="9">
      <formula>I73&gt;0</formula>
    </cfRule>
    <cfRule type="expression" dxfId="1266" priority="10">
      <formula>I73&lt;0</formula>
    </cfRule>
  </conditionalFormatting>
  <conditionalFormatting sqref="I69:I72">
    <cfRule type="expression" dxfId="1265" priority="7">
      <formula>I69&gt;0</formula>
    </cfRule>
    <cfRule type="expression" dxfId="1264" priority="8">
      <formula>I69&lt;0</formula>
    </cfRule>
  </conditionalFormatting>
  <conditionalFormatting sqref="H77">
    <cfRule type="expression" dxfId="1263" priority="5">
      <formula>H77&gt;0</formula>
    </cfRule>
    <cfRule type="expression" dxfId="1262" priority="6">
      <formula>H77&lt;0</formula>
    </cfRule>
  </conditionalFormatting>
  <conditionalFormatting sqref="H78">
    <cfRule type="expression" dxfId="1261" priority="3">
      <formula>H78&gt;0</formula>
    </cfRule>
    <cfRule type="expression" dxfId="1260" priority="4">
      <formula>H78&lt;0</formula>
    </cfRule>
  </conditionalFormatting>
  <conditionalFormatting sqref="H79">
    <cfRule type="expression" dxfId="1259" priority="1">
      <formula>H79&gt;0</formula>
    </cfRule>
    <cfRule type="expression" dxfId="125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7">
        <f>AC2/AC3-1</f>
        <v>3.1007751937983663E-3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37.03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7">
        <f t="shared" ref="AE3:AE66" si="1">AC3/AC4-1</f>
        <v>-7.9466803383746454E-3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37.03</v>
      </c>
      <c r="R4" s="517">
        <v>-1.38E-2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7">
        <f t="shared" si="1"/>
        <v>5.129520389841602E-4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7">
        <f t="shared" si="1"/>
        <v>-1.5155342258146076E-2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7">
        <f t="shared" si="1"/>
        <v>-1.883519206939277E-2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7">
        <f t="shared" si="1"/>
        <v>-3.2837967401725732E-2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7">
        <f t="shared" si="1"/>
        <v>2.397506593143639E-4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7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7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7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7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7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7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7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7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7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7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7">
        <f t="shared" si="1"/>
        <v>-9.6774193548387899E-3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7">
        <f t="shared" si="1"/>
        <v>3.9324543141336932E-3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7">
        <f t="shared" si="1"/>
        <v>-5.521048999309941E-3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7">
        <f t="shared" si="1"/>
        <v>3.2310177705976439E-3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7">
        <f t="shared" si="1"/>
        <v>-1.6121707538601315E-2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7">
        <f t="shared" si="1"/>
        <v>-2.5232403718459473E-2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7">
        <f t="shared" si="1"/>
        <v>-2.2084805653710404E-3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7">
        <f t="shared" si="1"/>
        <v>9.1375083574771754E-3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7">
        <f t="shared" si="1"/>
        <v>7.2162485065710769E-2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7">
        <f t="shared" si="1"/>
        <v>-1.3901979264844377E-2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7">
        <f t="shared" si="1"/>
        <v>6.6413662239088733E-3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7">
        <f t="shared" si="1"/>
        <v>-4.0160642570281624E-3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7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7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7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7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7">
        <f t="shared" si="1"/>
        <v>-1.0367577756833168E-2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7">
        <f t="shared" si="1"/>
        <v>4.1472392638036704E-2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7">
        <f t="shared" si="1"/>
        <v>2.438411261940665E-2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7">
        <f t="shared" si="1"/>
        <v>1.1956245230221318E-2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7">
        <f t="shared" si="1"/>
        <v>2.5445292620873694E-4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7">
        <f t="shared" si="1"/>
        <v>2.8068384792039325E-3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7">
        <f t="shared" si="1"/>
        <v>-5.0774308200051133E-3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7">
        <f t="shared" si="1"/>
        <v>-1.4757378689344569E-2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40.733000000000004</v>
      </c>
      <c r="Q43" s="2"/>
      <c r="T43" s="138" t="s">
        <v>98</v>
      </c>
      <c r="U43" s="364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7">
        <f t="shared" si="1"/>
        <v>1.9637847487885551E-2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40.362700000000004</v>
      </c>
      <c r="Q44" s="2"/>
      <c r="T44" s="107" t="s">
        <v>99</v>
      </c>
      <c r="U44" s="365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7">
        <f t="shared" si="1"/>
        <v>5.3846153846153211E-3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39.992400000000004</v>
      </c>
      <c r="Q45" s="2"/>
      <c r="T45" s="107" t="s">
        <v>100</v>
      </c>
      <c r="U45" s="365" t="s">
        <v>637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7">
        <f t="shared" si="1"/>
        <v>8.7946197620281108E-3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39.622100000000003</v>
      </c>
      <c r="Q46" s="2"/>
      <c r="T46" s="107" t="s">
        <v>101</v>
      </c>
      <c r="U46" s="365" t="s">
        <v>638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7">
        <f t="shared" si="1"/>
        <v>1.6031537450722722E-2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39.251800000000003</v>
      </c>
      <c r="Q47" s="2"/>
      <c r="T47" s="107" t="s">
        <v>102</v>
      </c>
      <c r="U47" s="365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7">
        <f t="shared" si="1"/>
        <v>4.7055586130984928E-2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38.881500000000003</v>
      </c>
      <c r="Q48" s="2"/>
      <c r="T48" s="107" t="s">
        <v>103</v>
      </c>
      <c r="U48" s="365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7">
        <f t="shared" si="1"/>
        <v>-8.7288597926894473E-3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38.511200000000002</v>
      </c>
      <c r="Q49" s="2"/>
      <c r="T49" s="107" t="s">
        <v>122</v>
      </c>
      <c r="U49" s="365" t="s">
        <v>452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7">
        <f t="shared" si="1"/>
        <v>1.5512465373961115E-2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38.140900000000002</v>
      </c>
      <c r="Q50" s="2"/>
      <c r="T50" s="107"/>
      <c r="U50" s="365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7">
        <f t="shared" si="1"/>
        <v>-1.0416666666666519E-2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37.770600000000002</v>
      </c>
      <c r="Q51" s="2"/>
      <c r="T51" s="107" t="s">
        <v>105</v>
      </c>
      <c r="U51" s="365" t="s">
        <v>639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7">
        <f t="shared" si="1"/>
        <v>1.8709857581680867E-2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37.400300000000001</v>
      </c>
      <c r="Q52" s="2"/>
      <c r="T52" s="107" t="s">
        <v>106</v>
      </c>
      <c r="U52" s="365" t="s">
        <v>442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7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37.03</v>
      </c>
      <c r="Q53" s="2"/>
      <c r="T53" s="107" t="s">
        <v>107</v>
      </c>
      <c r="U53" s="366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7">
        <f t="shared" si="1"/>
        <v>-2.8055031022390042E-2</v>
      </c>
    </row>
    <row r="54" spans="1:31" x14ac:dyDescent="0.25">
      <c r="O54" s="82">
        <v>0.99</v>
      </c>
      <c r="P54" s="82">
        <f t="shared" si="3"/>
        <v>36.659700000000001</v>
      </c>
      <c r="Q54" s="2"/>
      <c r="T54" s="107" t="s">
        <v>110</v>
      </c>
      <c r="U54" s="366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7">
        <f t="shared" si="1"/>
        <v>3.2476319350474014E-3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36.289400000000001</v>
      </c>
      <c r="Q55" s="2"/>
      <c r="T55" s="107" t="s">
        <v>108</v>
      </c>
      <c r="U55" s="365" t="s">
        <v>640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7">
        <f t="shared" si="1"/>
        <v>-6.4533476741057694E-3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35.9191</v>
      </c>
      <c r="T56" s="107" t="s">
        <v>111</v>
      </c>
      <c r="U56" s="365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7">
        <f t="shared" si="1"/>
        <v>3.2371189641218212E-3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35.5488</v>
      </c>
      <c r="T57" s="107" t="s">
        <v>112</v>
      </c>
      <c r="U57" s="365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7">
        <f t="shared" si="1"/>
        <v>9.2567383610129284E-3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35.1785</v>
      </c>
      <c r="T58" s="107" t="s">
        <v>109</v>
      </c>
      <c r="U58" s="365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7">
        <f t="shared" si="1"/>
        <v>-1.0878433505576712E-3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34.808199999999999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7">
        <f t="shared" si="1"/>
        <v>-1.3680257510729543E-2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34.437900000000006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7">
        <f t="shared" si="1"/>
        <v>-4.2875481386392855E-2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34.067600000000006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7">
        <f t="shared" si="1"/>
        <v>0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33.697300000000006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7">
        <f t="shared" si="1"/>
        <v>1.1688311688311748E-2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33.327000000000005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7">
        <f t="shared" si="1"/>
        <v>-1.6853932584269593E-2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7">
        <f t="shared" si="1"/>
        <v>-1.1859702245773596E-2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7">
        <f t="shared" si="1"/>
        <v>1.329583226796216E-2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7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257" priority="25">
      <formula>N19&gt;0</formula>
    </cfRule>
    <cfRule type="expression" dxfId="125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55" priority="19">
      <formula>F21&gt;0</formula>
    </cfRule>
    <cfRule type="expression" dxfId="1254" priority="20">
      <formula>F21&lt;0</formula>
    </cfRule>
  </conditionalFormatting>
  <conditionalFormatting sqref="H21:H31">
    <cfRule type="expression" dxfId="1253" priority="17">
      <formula>H21&gt;0</formula>
    </cfRule>
    <cfRule type="expression" dxfId="1252" priority="18">
      <formula>H21&lt;0</formula>
    </cfRule>
  </conditionalFormatting>
  <conditionalFormatting sqref="I21:I31">
    <cfRule type="expression" dxfId="1251" priority="15">
      <formula>I21&gt;0</formula>
    </cfRule>
    <cfRule type="expression" dxfId="1250" priority="16">
      <formula>I21&lt;0</formula>
    </cfRule>
  </conditionalFormatting>
  <conditionalFormatting sqref="Q8">
    <cfRule type="expression" dxfId="1249" priority="7">
      <formula>Q8&gt;0</formula>
    </cfRule>
    <cfRule type="expression" dxfId="1248" priority="8">
      <formula>Q8&lt;0</formula>
    </cfRule>
  </conditionalFormatting>
  <conditionalFormatting sqref="Q7">
    <cfRule type="expression" dxfId="1247" priority="9">
      <formula>Q7&gt;0</formula>
    </cfRule>
    <cfRule type="expression" dxfId="1246" priority="10">
      <formula>Q7&lt;0</formula>
    </cfRule>
  </conditionalFormatting>
  <conditionalFormatting sqref="F56:F66">
    <cfRule type="expression" dxfId="1245" priority="5">
      <formula>F56&gt;0</formula>
    </cfRule>
    <cfRule type="expression" dxfId="1244" priority="6">
      <formula>F56&lt;0</formula>
    </cfRule>
  </conditionalFormatting>
  <conditionalFormatting sqref="H56:H66">
    <cfRule type="expression" dxfId="1243" priority="3">
      <formula>H56&gt;0</formula>
    </cfRule>
    <cfRule type="expression" dxfId="1242" priority="4">
      <formula>H56&lt;0</formula>
    </cfRule>
  </conditionalFormatting>
  <conditionalFormatting sqref="I56:I66">
    <cfRule type="expression" dxfId="1241" priority="1">
      <formula>I56&gt;0</formula>
    </cfRule>
    <cfRule type="expression" dxfId="124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7">
        <f>AC2/AC3-1</f>
        <v>3.7752944729689819E-3</v>
      </c>
    </row>
    <row r="3" spans="1:40" x14ac:dyDescent="0.25">
      <c r="A3" s="23" t="s">
        <v>71</v>
      </c>
      <c r="B3" s="67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544</v>
      </c>
      <c r="M3" s="4"/>
      <c r="O3" s="11" t="s">
        <v>58</v>
      </c>
      <c r="Q3" s="229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7">
        <f t="shared" ref="AE3:AE66" si="2">AC3/AC4-1</f>
        <v>-2.7463651050080862E-2</v>
      </c>
      <c r="AG3" s="1"/>
      <c r="AK3" s="233"/>
      <c r="AN3" s="233"/>
    </row>
    <row r="4" spans="1:40" x14ac:dyDescent="0.25">
      <c r="B4" s="67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65.86</v>
      </c>
      <c r="R4" s="517">
        <v>-1.5800000000000002E-2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7">
        <f t="shared" si="2"/>
        <v>-1.7034791395986626E-2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13172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7">
        <f t="shared" si="2"/>
        <v>-1.9810386302532956E-2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7">
        <f t="shared" si="2"/>
        <v>-5.0682810080248109E-3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-471.94000000000233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7">
        <f t="shared" si="2"/>
        <v>8.0896962815784068E-3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-1147.8900000000031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7">
        <f t="shared" si="2"/>
        <v>1.1484352569623768E-2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-8.0160531959393738E-2</v>
      </c>
      <c r="T9" s="157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7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7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7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7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7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7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7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7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7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7">
        <f t="shared" si="2"/>
        <v>-1.2376237623762498E-2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7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7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7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7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7">
        <f t="shared" si="2"/>
        <v>-3.5823170731707266E-2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7">
        <f t="shared" si="2"/>
        <v>1.5794363580055704E-2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7">
        <f t="shared" si="2"/>
        <v>-2.0921770770163661E-2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7">
        <f t="shared" si="2"/>
        <v>1.6646115906288506E-2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7">
        <f t="shared" si="2"/>
        <v>2.0286208523352611E-2</v>
      </c>
    </row>
    <row r="28" spans="1:31" x14ac:dyDescent="0.25">
      <c r="A28" t="s">
        <v>367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7">
        <f t="shared" si="2"/>
        <v>-0.12746981339187691</v>
      </c>
    </row>
    <row r="29" spans="1:31" x14ac:dyDescent="0.25">
      <c r="A29" t="s">
        <v>367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7">
        <f t="shared" si="2"/>
        <v>-1.2466124661246636E-2</v>
      </c>
    </row>
    <row r="30" spans="1:31" x14ac:dyDescent="0.25">
      <c r="A30" t="s">
        <v>407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7">
        <f t="shared" si="2"/>
        <v>1.9618679193147193E-2</v>
      </c>
    </row>
    <row r="31" spans="1:31" x14ac:dyDescent="0.25">
      <c r="A31" t="s">
        <v>361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7">
        <f t="shared" si="2"/>
        <v>-1.6709686183942418E-2</v>
      </c>
    </row>
    <row r="32" spans="1:31" x14ac:dyDescent="0.25">
      <c r="A32" t="s">
        <v>433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7">
        <f t="shared" si="2"/>
        <v>-1.1813666263927991E-2</v>
      </c>
    </row>
    <row r="33" spans="1:31" x14ac:dyDescent="0.25">
      <c r="A33" t="s">
        <v>476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7">
        <f t="shared" si="2"/>
        <v>7.8473819510214149E-3</v>
      </c>
    </row>
    <row r="34" spans="1:31" x14ac:dyDescent="0.25">
      <c r="A34" t="s">
        <v>498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7">
        <f t="shared" si="2"/>
        <v>5.8519324986390231E-3</v>
      </c>
    </row>
    <row r="35" spans="1:31" x14ac:dyDescent="0.25">
      <c r="A35" t="s">
        <v>498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7">
        <f t="shared" si="2"/>
        <v>-2.6110006626905213E-2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7">
        <f t="shared" si="2"/>
        <v>1.1123023318145187E-2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7">
        <f t="shared" si="2"/>
        <v>2.0793433652530835E-2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7">
        <f t="shared" si="2"/>
        <v>2.8810536424748179E-3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7">
        <f t="shared" si="2"/>
        <v>-9.9157837544145977E-3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7">
        <f t="shared" si="2"/>
        <v>1.6149068322981464E-2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7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3" t="s">
        <v>78</v>
      </c>
      <c r="P42" s="703"/>
      <c r="T42" s="107" t="s">
        <v>100</v>
      </c>
      <c r="U42" s="365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7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72.446000000000012</v>
      </c>
      <c r="Q43" s="2"/>
      <c r="T43" s="107" t="s">
        <v>101</v>
      </c>
      <c r="U43" s="365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7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71.787400000000005</v>
      </c>
      <c r="Q44" s="2"/>
      <c r="T44" s="107" t="s">
        <v>102</v>
      </c>
      <c r="U44" s="365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7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71.128799999999998</v>
      </c>
      <c r="Q45" s="2"/>
      <c r="T45" s="107" t="s">
        <v>103</v>
      </c>
      <c r="U45" s="365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7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70.470200000000006</v>
      </c>
      <c r="Q46" s="2"/>
      <c r="T46" s="107" t="s">
        <v>122</v>
      </c>
      <c r="U46" s="365" t="s">
        <v>518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7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69.811599999999999</v>
      </c>
      <c r="Q47" s="2"/>
      <c r="T47" s="107"/>
      <c r="U47" s="365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7">
        <f t="shared" si="2"/>
        <v>-1.8822637695805944E-2</v>
      </c>
    </row>
    <row r="48" spans="1:31" x14ac:dyDescent="0.25">
      <c r="O48" s="82">
        <v>1.05</v>
      </c>
      <c r="P48" s="82">
        <f t="shared" si="33"/>
        <v>69.153000000000006</v>
      </c>
      <c r="Q48" s="2"/>
      <c r="T48" s="107" t="s">
        <v>105</v>
      </c>
      <c r="U48" s="365" t="s">
        <v>641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7">
        <f t="shared" si="2"/>
        <v>-1.0376297037129611E-2</v>
      </c>
    </row>
    <row r="49" spans="2:31" x14ac:dyDescent="0.25">
      <c r="O49" s="82">
        <v>1.04</v>
      </c>
      <c r="P49" s="82">
        <f t="shared" si="33"/>
        <v>68.494399999999999</v>
      </c>
      <c r="Q49" s="2"/>
      <c r="T49" s="107" t="s">
        <v>106</v>
      </c>
      <c r="U49" s="365" t="s">
        <v>642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7">
        <f t="shared" si="2"/>
        <v>-2.391702257474082E-2</v>
      </c>
    </row>
    <row r="50" spans="2:31" x14ac:dyDescent="0.25">
      <c r="O50" s="82">
        <v>1.03</v>
      </c>
      <c r="P50" s="82">
        <f t="shared" si="33"/>
        <v>67.835800000000006</v>
      </c>
      <c r="Q50" s="2"/>
      <c r="T50" s="107" t="s">
        <v>107</v>
      </c>
      <c r="U50" s="366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7">
        <f t="shared" si="2"/>
        <v>-1.2412629549289012E-2</v>
      </c>
    </row>
    <row r="51" spans="2:31" x14ac:dyDescent="0.25">
      <c r="O51" s="82">
        <v>1.02</v>
      </c>
      <c r="P51" s="82">
        <f t="shared" si="33"/>
        <v>67.177199999999999</v>
      </c>
      <c r="Q51" s="2"/>
      <c r="T51" s="107" t="s">
        <v>110</v>
      </c>
      <c r="U51" s="366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7" t="e">
        <f t="shared" si="2"/>
        <v>#DIV/0!</v>
      </c>
    </row>
    <row r="52" spans="2:31" x14ac:dyDescent="0.25">
      <c r="O52" s="82">
        <v>1.01</v>
      </c>
      <c r="P52" s="82">
        <f t="shared" si="33"/>
        <v>66.518600000000006</v>
      </c>
      <c r="Q52" s="2"/>
      <c r="T52" s="107" t="s">
        <v>108</v>
      </c>
      <c r="U52" s="365" t="s">
        <v>643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7">
        <f t="shared" si="2"/>
        <v>-1</v>
      </c>
    </row>
    <row r="53" spans="2:31" x14ac:dyDescent="0.25">
      <c r="O53" s="82">
        <v>1</v>
      </c>
      <c r="P53" s="82">
        <f t="shared" si="33"/>
        <v>65.86</v>
      </c>
      <c r="Q53" s="2"/>
      <c r="T53" s="107" t="s">
        <v>111</v>
      </c>
      <c r="U53" s="365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7">
        <f t="shared" si="2"/>
        <v>2.2439871063724359E-2</v>
      </c>
    </row>
    <row r="54" spans="2:31" x14ac:dyDescent="0.25">
      <c r="O54" s="82">
        <v>0.99</v>
      </c>
      <c r="P54" s="82">
        <f t="shared" si="33"/>
        <v>65.201399999999992</v>
      </c>
      <c r="Q54" s="2"/>
      <c r="T54" s="107" t="s">
        <v>112</v>
      </c>
      <c r="U54" s="365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7">
        <f t="shared" si="2"/>
        <v>2.3611283708213637E-3</v>
      </c>
    </row>
    <row r="55" spans="2:31" x14ac:dyDescent="0.25">
      <c r="O55" s="82">
        <v>0.98</v>
      </c>
      <c r="P55" s="82">
        <f t="shared" si="33"/>
        <v>64.5428</v>
      </c>
      <c r="Q55" s="2"/>
      <c r="T55" s="107" t="s">
        <v>109</v>
      </c>
      <c r="U55" s="365" t="s">
        <v>600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7">
        <f t="shared" si="2"/>
        <v>-6.2096373571784991E-4</v>
      </c>
    </row>
    <row r="56" spans="2:31" x14ac:dyDescent="0.25">
      <c r="O56" s="82">
        <v>0.97</v>
      </c>
      <c r="P56" s="82">
        <f t="shared" si="33"/>
        <v>63.8842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7">
        <f t="shared" si="2"/>
        <v>-1.5286779992662369E-2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63.2256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7">
        <f t="shared" si="2"/>
        <v>1.0878971442700003E-2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62.566999999999993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7">
        <f t="shared" si="2"/>
        <v>4.4703837079349551E-3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61.908399999999993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7">
        <f t="shared" si="2"/>
        <v>-4.2335592817219658E-2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61.2498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7">
        <f t="shared" si="2"/>
        <v>-4.0270046192112385E-3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60.591200000000001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7">
        <f t="shared" si="2"/>
        <v>-3.1655006308062728E-2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59.932600000000001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7">
        <f t="shared" si="2"/>
        <v>1.5608619685498093E-2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59.274000000000001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7">
        <f t="shared" si="2"/>
        <v>-2.3766204230156962E-2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7">
        <f t="shared" si="2"/>
        <v>2.8509522180408808E-3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7">
        <f t="shared" si="2"/>
        <v>-8.0142662330850767E-2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7">
        <f t="shared" si="2"/>
        <v>7.2907861369400084E-3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7">
        <f>AC67/AC68-1</f>
        <v>7.237122179651001E-3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239" priority="35">
      <formula>N19&gt;0</formula>
    </cfRule>
    <cfRule type="expression" dxfId="123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37" priority="29">
      <formula>F61&gt;0</formula>
    </cfRule>
    <cfRule type="expression" dxfId="1236" priority="30">
      <formula>F61&lt;0</formula>
    </cfRule>
  </conditionalFormatting>
  <conditionalFormatting sqref="H61:H79 H83:H100">
    <cfRule type="expression" dxfId="1235" priority="27">
      <formula>H61&gt;0</formula>
    </cfRule>
    <cfRule type="expression" dxfId="1234" priority="28">
      <formula>H61&lt;0</formula>
    </cfRule>
  </conditionalFormatting>
  <conditionalFormatting sqref="I57:I79 I82:I100">
    <cfRule type="expression" dxfId="1233" priority="25">
      <formula>I57&gt;0</formula>
    </cfRule>
    <cfRule type="expression" dxfId="1232" priority="26">
      <formula>I57&lt;0</formula>
    </cfRule>
  </conditionalFormatting>
  <conditionalFormatting sqref="Q7">
    <cfRule type="expression" dxfId="1231" priority="23">
      <formula>Q7&gt;0</formula>
    </cfRule>
    <cfRule type="expression" dxfId="1230" priority="24">
      <formula>Q7&lt;0</formula>
    </cfRule>
  </conditionalFormatting>
  <conditionalFormatting sqref="Q8">
    <cfRule type="expression" dxfId="1229" priority="21">
      <formula>Q8&gt;0</formula>
    </cfRule>
    <cfRule type="expression" dxfId="1228" priority="22">
      <formula>Q8&lt;0</formula>
    </cfRule>
  </conditionalFormatting>
  <conditionalFormatting sqref="F57:F60">
    <cfRule type="expression" dxfId="1227" priority="19">
      <formula>F57&gt;0</formula>
    </cfRule>
    <cfRule type="expression" dxfId="1226" priority="20">
      <formula>F57&lt;0</formula>
    </cfRule>
  </conditionalFormatting>
  <conditionalFormatting sqref="H57:H60">
    <cfRule type="expression" dxfId="1225" priority="17">
      <formula>H57&gt;0</formula>
    </cfRule>
    <cfRule type="expression" dxfId="1224" priority="18">
      <formula>H57&lt;0</formula>
    </cfRule>
  </conditionalFormatting>
  <conditionalFormatting sqref="F82:F96">
    <cfRule type="expression" dxfId="1223" priority="11">
      <formula>F82&gt;0</formula>
    </cfRule>
    <cfRule type="expression" dxfId="1222" priority="12">
      <formula>F82&lt;0</formula>
    </cfRule>
  </conditionalFormatting>
  <conditionalFormatting sqref="H82:H96">
    <cfRule type="expression" dxfId="1221" priority="9">
      <formula>H82&gt;0</formula>
    </cfRule>
    <cfRule type="expression" dxfId="1220" priority="10">
      <formula>H82&lt;0</formula>
    </cfRule>
  </conditionalFormatting>
  <conditionalFormatting sqref="F25:F41">
    <cfRule type="expression" dxfId="1219" priority="7">
      <formula>F25&gt;0</formula>
    </cfRule>
    <cfRule type="expression" dxfId="1218" priority="8">
      <formula>F25&lt;0</formula>
    </cfRule>
  </conditionalFormatting>
  <conditionalFormatting sqref="H25:H41">
    <cfRule type="expression" dxfId="1217" priority="5">
      <formula>H25&gt;0</formula>
    </cfRule>
    <cfRule type="expression" dxfId="1216" priority="6">
      <formula>H25&lt;0</formula>
    </cfRule>
  </conditionalFormatting>
  <conditionalFormatting sqref="J34:J47">
    <cfRule type="expression" dxfId="1215" priority="3">
      <formula>J34&gt;0</formula>
    </cfRule>
    <cfRule type="expression" dxfId="1214" priority="4">
      <formula>J34&lt;0</formula>
    </cfRule>
  </conditionalFormatting>
  <conditionalFormatting sqref="J39">
    <cfRule type="expression" dxfId="1213" priority="1">
      <formula>J39&gt;0</formula>
    </cfRule>
    <cfRule type="expression" dxfId="121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7">
        <f>AC2/AC3-1</f>
        <v>-5.1806313462734455E-3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141.19999999999999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7">
        <f t="shared" ref="AE3:AE66" si="1">AC3/AC4-1</f>
        <v>7.4460681976340481E-3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141.19999999999999</v>
      </c>
      <c r="R4" s="517">
        <v>-4.4000000000000003E-3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7">
        <f t="shared" si="1"/>
        <v>2.7843519420844842E-4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7">
        <f t="shared" si="1"/>
        <v>-1.875911901618954E-3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7">
        <f t="shared" si="1"/>
        <v>-1.3183458229253375E-3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7">
        <f t="shared" si="1"/>
        <v>2.2253129346314626E-3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7">
        <f t="shared" si="1"/>
        <v>2.0726859738784853E-2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7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7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7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7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7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7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7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7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7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7">
        <f t="shared" si="1"/>
        <v>-1.5086206896550713E-3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7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7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7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7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7">
        <f t="shared" si="1"/>
        <v>1.2918042198939439E-3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7">
        <f t="shared" si="1"/>
        <v>-3.1478036915152385E-3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7">
        <f t="shared" si="1"/>
        <v>5.9009786989061563E-3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7">
        <f t="shared" si="1"/>
        <v>-5.9374776450388245E-3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7">
        <f t="shared" si="1"/>
        <v>2.0439448134900173E-2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7">
        <f t="shared" si="1"/>
        <v>4.3818009201790353E-4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7">
        <f t="shared" si="1"/>
        <v>1.9757061320064828E-3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7">
        <f t="shared" si="1"/>
        <v>9.5217168387895512E-4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7">
        <f t="shared" si="1"/>
        <v>-4.2301801473270118E-3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7">
        <f t="shared" si="1"/>
        <v>2.9992684711048767E-3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7">
        <f t="shared" si="1"/>
        <v>7.220748600058835E-3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7">
        <f t="shared" si="1"/>
        <v>2.7336534909494503E-3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7">
        <f t="shared" si="1"/>
        <v>-1.1807246697660423E-3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7">
        <f t="shared" si="1"/>
        <v>3.6290919863721793E-3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7">
        <f t="shared" si="1"/>
        <v>1.2979218245930069E-2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7">
        <f t="shared" si="1"/>
        <v>8.8555858310626068E-3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7">
        <f t="shared" si="1"/>
        <v>-2.2655188038059881E-3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7" t="e">
        <f t="shared" si="1"/>
        <v>#DIV/0!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3" t="s">
        <v>78</v>
      </c>
      <c r="P42" s="703"/>
      <c r="T42" s="107" t="s">
        <v>100</v>
      </c>
      <c r="U42" s="365" t="s">
        <v>644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7">
        <f t="shared" si="1"/>
        <v>3.894318875992564E-3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155.32</v>
      </c>
      <c r="Q43" s="2"/>
      <c r="T43" s="107" t="s">
        <v>101</v>
      </c>
      <c r="U43" s="365" t="s">
        <v>645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7">
        <f t="shared" si="1"/>
        <v>9.481230247437189E-3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153.90799999999999</v>
      </c>
      <c r="Q44" s="2"/>
      <c r="T44" s="107" t="s">
        <v>102</v>
      </c>
      <c r="U44" s="365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7">
        <f t="shared" si="1"/>
        <v>9.414877061935778E-3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152.49600000000001</v>
      </c>
      <c r="Q45" s="2"/>
      <c r="T45" s="107" t="s">
        <v>103</v>
      </c>
      <c r="U45" s="365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7">
        <f t="shared" si="1"/>
        <v>4.2194092827003704E-3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151.084</v>
      </c>
      <c r="Q46" s="2"/>
      <c r="T46" s="107" t="s">
        <v>122</v>
      </c>
      <c r="U46" s="365" t="s">
        <v>415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7">
        <f t="shared" si="1"/>
        <v>-1.6381933068101429E-3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149.672</v>
      </c>
      <c r="Q47" s="2"/>
      <c r="T47" s="107"/>
      <c r="U47" s="365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7">
        <f t="shared" si="1"/>
        <v>6.0912025159314709E-2</v>
      </c>
    </row>
    <row r="48" spans="2:31" x14ac:dyDescent="0.25">
      <c r="O48" s="82">
        <v>1.05</v>
      </c>
      <c r="P48" s="82">
        <f t="shared" si="8"/>
        <v>148.26</v>
      </c>
      <c r="Q48" s="2"/>
      <c r="T48" s="107" t="s">
        <v>105</v>
      </c>
      <c r="U48" s="365" t="s">
        <v>646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7">
        <f t="shared" si="1"/>
        <v>-2.2295623451692448E-3</v>
      </c>
    </row>
    <row r="49" spans="1:31" x14ac:dyDescent="0.25">
      <c r="O49" s="82">
        <v>1.04</v>
      </c>
      <c r="P49" s="82">
        <f t="shared" si="8"/>
        <v>146.84799999999998</v>
      </c>
      <c r="Q49" s="2"/>
      <c r="T49" s="107" t="s">
        <v>106</v>
      </c>
      <c r="U49" s="365" t="s">
        <v>647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7">
        <f t="shared" si="1"/>
        <v>-2.6354801515401372E-3</v>
      </c>
    </row>
    <row r="50" spans="1:31" x14ac:dyDescent="0.25">
      <c r="O50" s="82">
        <v>1.03</v>
      </c>
      <c r="P50" s="82">
        <f t="shared" si="8"/>
        <v>145.43599999999998</v>
      </c>
      <c r="Q50" s="2"/>
      <c r="T50" s="107" t="s">
        <v>107</v>
      </c>
      <c r="U50" s="366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7">
        <f t="shared" si="1"/>
        <v>8.2365538258910576E-5</v>
      </c>
    </row>
    <row r="51" spans="1:31" x14ac:dyDescent="0.25">
      <c r="O51" s="82">
        <v>1.02</v>
      </c>
      <c r="P51" s="82">
        <f t="shared" si="8"/>
        <v>144.024</v>
      </c>
      <c r="Q51" s="2"/>
      <c r="T51" s="107" t="s">
        <v>110</v>
      </c>
      <c r="U51" s="366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7">
        <f t="shared" si="1"/>
        <v>4.9443757725597948E-4</v>
      </c>
    </row>
    <row r="52" spans="1:31" x14ac:dyDescent="0.25">
      <c r="O52" s="82">
        <v>1.01</v>
      </c>
      <c r="P52" s="82">
        <f t="shared" si="8"/>
        <v>142.61199999999999</v>
      </c>
      <c r="Q52" s="2"/>
      <c r="T52" s="107" t="s">
        <v>108</v>
      </c>
      <c r="U52" s="365" t="s">
        <v>648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7">
        <f t="shared" si="1"/>
        <v>1.5906236919212891E-2</v>
      </c>
    </row>
    <row r="53" spans="1:31" x14ac:dyDescent="0.25">
      <c r="O53" s="82">
        <v>1</v>
      </c>
      <c r="P53" s="82">
        <f t="shared" si="8"/>
        <v>141.19999999999999</v>
      </c>
      <c r="Q53" s="2"/>
      <c r="T53" s="107" t="s">
        <v>111</v>
      </c>
      <c r="U53" s="365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7">
        <f t="shared" si="1"/>
        <v>-9.2004014720636906E-4</v>
      </c>
    </row>
    <row r="54" spans="1:31" x14ac:dyDescent="0.25">
      <c r="O54" s="82">
        <v>0.99</v>
      </c>
      <c r="P54" s="82">
        <f t="shared" si="8"/>
        <v>139.78799999999998</v>
      </c>
      <c r="Q54" s="2"/>
      <c r="T54" s="107" t="s">
        <v>112</v>
      </c>
      <c r="U54" s="365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7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138.37599999999998</v>
      </c>
      <c r="Q55" s="2"/>
      <c r="T55" s="107" t="s">
        <v>109</v>
      </c>
      <c r="U55" s="365" t="s">
        <v>592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7">
        <f t="shared" si="1"/>
        <v>1.8447090390742993E-3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136.964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7">
        <f t="shared" si="1"/>
        <v>-1.7577634552606858E-3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135.55199999999999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7">
        <f t="shared" si="1"/>
        <v>-8.36960160697231E-5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134.13999999999999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7">
        <f t="shared" si="1"/>
        <v>8.0148485615456622E-3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132.72799999999998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7">
        <f t="shared" si="1"/>
        <v>-1.7685699848407621E-3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131.316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7">
        <f t="shared" si="1"/>
        <v>-4.1097039335737939E-3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129.904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7">
        <f t="shared" si="1"/>
        <v>5.3119730185497982E-3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128.49199999999999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7">
        <f t="shared" si="1"/>
        <v>1.0128291694799785E-3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127.08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7">
        <f t="shared" si="1"/>
        <v>9.1993185689949186E-3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7">
        <f t="shared" si="1"/>
        <v>1.1110154164154729E-2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7">
        <f t="shared" si="1"/>
        <v>5.1073407202215648E-3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7">
        <f t="shared" si="1"/>
        <v>-1.1240812797234101E-3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7">
        <f>AC67/AC68-1</f>
        <v>2.8616024973986409E-3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211" priority="35">
      <formula>N19&gt;0</formula>
    </cfRule>
    <cfRule type="expression" dxfId="121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09" priority="21">
      <formula>F25&gt;0</formula>
    </cfRule>
    <cfRule type="expression" dxfId="1208" priority="22">
      <formula>F25&lt;0</formula>
    </cfRule>
  </conditionalFormatting>
  <conditionalFormatting sqref="H25:H47">
    <cfRule type="expression" dxfId="1207" priority="19">
      <formula>H25&gt;0</formula>
    </cfRule>
    <cfRule type="expression" dxfId="1206" priority="20">
      <formula>H25&lt;0</formula>
    </cfRule>
  </conditionalFormatting>
  <conditionalFormatting sqref="I25:I27">
    <cfRule type="expression" dxfId="1205" priority="15">
      <formula>I25&gt;0</formula>
    </cfRule>
    <cfRule type="expression" dxfId="1204" priority="16">
      <formula>I25&lt;0</formula>
    </cfRule>
  </conditionalFormatting>
  <conditionalFormatting sqref="Q7">
    <cfRule type="expression" dxfId="1203" priority="5">
      <formula>Q7&gt;0</formula>
    </cfRule>
    <cfRule type="expression" dxfId="1202" priority="6">
      <formula>Q7&lt;0</formula>
    </cfRule>
  </conditionalFormatting>
  <conditionalFormatting sqref="Q8">
    <cfRule type="expression" dxfId="1201" priority="3">
      <formula>Q8&gt;0</formula>
    </cfRule>
    <cfRule type="expression" dxfId="120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75.790000000000006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75.790000000000006</v>
      </c>
      <c r="R4" s="499">
        <v>-1.15E-2</v>
      </c>
      <c r="T4" s="162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7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7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7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7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7">
        <f t="shared" si="1"/>
        <v>-4.9795709908068142E-3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7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7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7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7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7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7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7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7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7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7">
        <f t="shared" si="1"/>
        <v>-5.6703629032258673E-3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7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7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7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7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7">
        <f t="shared" si="1"/>
        <v>-6.6876971608832436E-3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7">
        <f t="shared" si="1"/>
        <v>1.0104837691045088E-3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7">
        <f t="shared" si="1"/>
        <v>-4.7768698931489606E-3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7">
        <f t="shared" si="1"/>
        <v>-2.7579290460072459E-3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7">
        <f t="shared" si="1"/>
        <v>-2.230665522735642E-2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7">
        <f t="shared" si="1"/>
        <v>2.3328734478866187E-2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7">
        <f t="shared" si="1"/>
        <v>-1.3777555110220385E-3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7">
        <f t="shared" si="1"/>
        <v>5.1617776658692271E-3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7">
        <f t="shared" si="1"/>
        <v>-3.6377320622176246E-3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7">
        <f t="shared" si="1"/>
        <v>2.3890355840563426E-3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7">
        <f t="shared" si="1"/>
        <v>-1.3812154696132284E-3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7">
        <f t="shared" si="1"/>
        <v>3.2753842277652989E-3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7">
        <f t="shared" si="1"/>
        <v>2.5258903763574203E-3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7">
        <f t="shared" si="1"/>
        <v>-1.1353601614733089E-3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7">
        <f t="shared" si="1"/>
        <v>2.2758882286002535E-3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7">
        <f t="shared" si="1"/>
        <v>6.362132586843039E-3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7">
        <f t="shared" si="1"/>
        <v>5.501535312180339E-3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7">
        <f t="shared" si="1"/>
        <v>3.8530696121243935E-3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83.369000000000014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7">
        <f t="shared" si="1"/>
        <v>4.9044914816727125E-3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82.611100000000008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7">
        <f t="shared" si="1"/>
        <v>1.0335917312660481E-3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81.853200000000015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7">
        <f t="shared" si="1"/>
        <v>-1.290322580645098E-3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81.095300000000009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7">
        <f t="shared" si="1"/>
        <v>-2.8306742151312791E-3</v>
      </c>
    </row>
    <row r="45" spans="2:31" x14ac:dyDescent="0.25">
      <c r="O45" s="82">
        <v>1.06</v>
      </c>
      <c r="P45" s="82">
        <f t="shared" si="5"/>
        <v>80.337400000000017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7">
        <f t="shared" si="1"/>
        <v>1.9947506561679651E-2</v>
      </c>
    </row>
    <row r="46" spans="2:31" x14ac:dyDescent="0.25">
      <c r="O46" s="82">
        <v>1.05</v>
      </c>
      <c r="P46" s="82">
        <f t="shared" si="5"/>
        <v>79.57950000000001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7">
        <f t="shared" si="1"/>
        <v>-3.2701111837802888E-3</v>
      </c>
    </row>
    <row r="47" spans="2:31" x14ac:dyDescent="0.25">
      <c r="O47" s="82">
        <v>1.04</v>
      </c>
      <c r="P47" s="82">
        <f t="shared" si="5"/>
        <v>78.821600000000004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7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78.063700000000011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7">
        <f t="shared" si="1"/>
        <v>-1.1564449064449089E-2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77.305800000000005</v>
      </c>
      <c r="Q49" s="2"/>
      <c r="T49" s="92" t="s">
        <v>104</v>
      </c>
      <c r="U49" s="129" t="s">
        <v>570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7">
        <f t="shared" si="1"/>
        <v>5.4873268879016557E-3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76.547900000000013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7">
        <f t="shared" si="1"/>
        <v>-1.0441138084050783E-3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75.790000000000006</v>
      </c>
      <c r="Q51" s="2"/>
      <c r="T51" s="92" t="s">
        <v>105</v>
      </c>
      <c r="U51" s="129" t="s">
        <v>649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7">
        <f t="shared" si="1"/>
        <v>5.2232958997144863E-4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75.0321</v>
      </c>
      <c r="Q52" s="2"/>
      <c r="T52" s="92" t="s">
        <v>106</v>
      </c>
      <c r="U52" s="129" t="s">
        <v>504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7">
        <f t="shared" si="1"/>
        <v>-6.8732978861366645E-3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74.274200000000008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7">
        <f t="shared" si="1"/>
        <v>1.9164684113137653E-2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73.516300000000001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7">
        <f t="shared" si="1"/>
        <v>-3.0307023323231652E-3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72.758400000000009</v>
      </c>
      <c r="T55" s="92" t="s">
        <v>108</v>
      </c>
      <c r="U55" s="129" t="s">
        <v>650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7">
        <f t="shared" si="1"/>
        <v>-6.4152919612463499E-3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72.000500000000002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7">
        <f t="shared" si="1"/>
        <v>-1.0237138784501831E-2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71.242599999999996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7">
        <f t="shared" si="1"/>
        <v>1.1534932494429162E-2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70.484700000000004</v>
      </c>
      <c r="T58" s="92" t="s">
        <v>109</v>
      </c>
      <c r="U58" s="129" t="s">
        <v>601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7">
        <f t="shared" si="1"/>
        <v>-2.6208884811951272E-4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69.726800000000011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7">
        <f t="shared" si="1"/>
        <v>-3.3955857385398192E-3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68.968900000000005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7">
        <f t="shared" si="1"/>
        <v>-3.916449086162066E-4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68.211000000000013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7">
        <f t="shared" si="1"/>
        <v>3.405816085931157E-3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7">
        <f t="shared" si="1"/>
        <v>1.0456651224354907E-2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7">
        <f t="shared" si="1"/>
        <v>5.1889302820649075E-3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7">
        <f t="shared" si="1"/>
        <v>1.9997333688839269E-3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7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7" t="e">
        <f t="shared" si="1"/>
        <v>#DIV/0!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7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99" priority="9">
      <formula>F36&gt;0</formula>
    </cfRule>
    <cfRule type="expression" dxfId="1198" priority="10">
      <formula>F36&lt;0</formula>
    </cfRule>
  </conditionalFormatting>
  <conditionalFormatting sqref="F25:F35">
    <cfRule type="expression" dxfId="1197" priority="7">
      <formula>F25&gt;0</formula>
    </cfRule>
    <cfRule type="expression" dxfId="1196" priority="8">
      <formula>F25&lt;0</formula>
    </cfRule>
  </conditionalFormatting>
  <conditionalFormatting sqref="H25:H35">
    <cfRule type="expression" dxfId="1195" priority="5">
      <formula>H25&gt;0</formula>
    </cfRule>
    <cfRule type="expression" dxfId="1194" priority="6">
      <formula>H25&lt;0</formula>
    </cfRule>
  </conditionalFormatting>
  <conditionalFormatting sqref="Q7">
    <cfRule type="expression" dxfId="1193" priority="3">
      <formula>Q7&gt;0</formula>
    </cfRule>
    <cfRule type="expression" dxfId="1192" priority="4">
      <formula>Q7&lt;0</formula>
    </cfRule>
  </conditionalFormatting>
  <conditionalFormatting sqref="Q8">
    <cfRule type="expression" dxfId="1191" priority="1">
      <formula>Q8&gt;0</formula>
    </cfRule>
    <cfRule type="expression" dxfId="119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73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548</v>
      </c>
      <c r="M2" s="3"/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7">
        <f>AC2/AC3-1</f>
        <v>2.1945866861741159E-3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7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69.069999999999993</v>
      </c>
      <c r="R4" s="522">
        <v>-6.9999999999999999E-4</v>
      </c>
      <c r="T4" s="162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7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6906.9999999999991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7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7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-102.70000000000164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7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-261.00000000000091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7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-3.6411830357142981E-2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7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7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7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7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7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7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7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7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7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7">
        <f t="shared" si="1"/>
        <v>3.1684805069567279E-3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7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7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7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7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7">
        <f t="shared" si="1"/>
        <v>-1.4636840651753635E-2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7">
        <f t="shared" si="1"/>
        <v>-9.5733041575493116E-3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7">
        <f t="shared" si="1"/>
        <v>-1.2825705413797572E-2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7">
        <f t="shared" si="1"/>
        <v>9.8159509202453421E-3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7">
        <f t="shared" si="1"/>
        <v>4.5193097781428548E-3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7">
        <f t="shared" si="1"/>
        <v>-4.9094934236228793E-2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7">
        <f t="shared" si="1"/>
        <v>-7.2398190045247501E-3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7">
        <f t="shared" si="1"/>
        <v>1.8835616438356073E-2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7">
        <f t="shared" si="1"/>
        <v>-1.8867924528301772E-2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7">
        <f t="shared" si="1"/>
        <v>-6.1649113793990074E-3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7">
        <f t="shared" si="1"/>
        <v>2.4462469421913102E-3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7">
        <f t="shared" si="1"/>
        <v>2.1704814522494065E-2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7">
        <f t="shared" si="1"/>
        <v>-1.7575600930472945E-2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7">
        <f t="shared" si="1"/>
        <v>3.1112263417163444E-3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7">
        <f t="shared" si="1"/>
        <v>1.4732965009208066E-2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7">
        <f t="shared" si="1"/>
        <v>-1.0027347310847867E-2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7">
        <f t="shared" si="1"/>
        <v>-1.1838888173980044E-2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7">
        <f t="shared" si="1"/>
        <v>3.5167177301185681E-2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75.977000000000004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7">
        <f t="shared" si="1"/>
        <v>3.1181318681318571E-2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75.286299999999997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7">
        <f t="shared" si="1"/>
        <v>7.4730141156931218E-3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74.595600000000005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7">
        <f t="shared" si="1"/>
        <v>-1.2031719989062051E-2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73.904899999999998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7">
        <f t="shared" si="1"/>
        <v>-4.8979591836734171E-3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73.214199999999991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7">
        <f t="shared" si="1"/>
        <v>1.4988418040604579E-3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72.523499999999999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7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71.832799999999992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7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71.142099999999999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7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70.451399999999992</v>
      </c>
      <c r="Q49" s="2"/>
      <c r="T49" s="92" t="s">
        <v>122</v>
      </c>
      <c r="U49" s="129" t="s">
        <v>560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7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69.7607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7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69.069999999999993</v>
      </c>
      <c r="Q51" s="2"/>
      <c r="T51" s="92" t="s">
        <v>105</v>
      </c>
      <c r="U51" s="129" t="s">
        <v>651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7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68.379299999999986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7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67.688599999999994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7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66.997899999999987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7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66.307199999999995</v>
      </c>
      <c r="T55" s="92" t="s">
        <v>108</v>
      </c>
      <c r="U55" s="129" t="s">
        <v>652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7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65.616499999999988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7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64.925799999999995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7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64.235100000000003</v>
      </c>
      <c r="T58" s="92" t="s">
        <v>109</v>
      </c>
      <c r="U58" s="129" t="s">
        <v>602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7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63.544399999999996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7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62.853699999999996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7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62.162999999999997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7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7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7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7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7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7">
        <f t="shared" si="1"/>
        <v>1.620089104900746E-3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89" priority="17">
      <formula>F47&gt;0</formula>
    </cfRule>
    <cfRule type="expression" dxfId="1188" priority="18">
      <formula>F47&lt;0</formula>
    </cfRule>
  </conditionalFormatting>
  <conditionalFormatting sqref="Q7">
    <cfRule type="expression" dxfId="1187" priority="15">
      <formula>Q7&gt;0</formula>
    </cfRule>
    <cfRule type="expression" dxfId="1186" priority="16">
      <formula>Q7&lt;0</formula>
    </cfRule>
  </conditionalFormatting>
  <conditionalFormatting sqref="Q8">
    <cfRule type="expression" dxfId="1185" priority="13">
      <formula>Q8&gt;0</formula>
    </cfRule>
    <cfRule type="expression" dxfId="1184" priority="14">
      <formula>Q8&lt;0</formula>
    </cfRule>
  </conditionalFormatting>
  <conditionalFormatting sqref="F25:F46">
    <cfRule type="expression" dxfId="1183" priority="11">
      <formula>F25&gt;0</formula>
    </cfRule>
    <cfRule type="expression" dxfId="1182" priority="12">
      <formula>F25&lt;0</formula>
    </cfRule>
  </conditionalFormatting>
  <conditionalFormatting sqref="H25:H46">
    <cfRule type="expression" dxfId="1181" priority="9">
      <formula>H25&gt;0</formula>
    </cfRule>
    <cfRule type="expression" dxfId="1180" priority="10">
      <formula>H25&lt;0</formula>
    </cfRule>
  </conditionalFormatting>
  <conditionalFormatting sqref="F89:F110">
    <cfRule type="expression" dxfId="1179" priority="7">
      <formula>F89&gt;0</formula>
    </cfRule>
    <cfRule type="expression" dxfId="1178" priority="8">
      <formula>F89&lt;0</formula>
    </cfRule>
  </conditionalFormatting>
  <conditionalFormatting sqref="H89:H110">
    <cfRule type="expression" dxfId="1177" priority="5">
      <formula>H89&gt;0</formula>
    </cfRule>
    <cfRule type="expression" dxfId="1176" priority="6">
      <formula>H89&lt;0</formula>
    </cfRule>
  </conditionalFormatting>
  <conditionalFormatting sqref="Q10">
    <cfRule type="expression" dxfId="1175" priority="3">
      <formula>Q10&gt;0</formula>
    </cfRule>
    <cfRule type="expression" dxfId="1174" priority="4">
      <formula>Q10&lt;0</formula>
    </cfRule>
  </conditionalFormatting>
  <conditionalFormatting sqref="J25:J38">
    <cfRule type="expression" dxfId="1173" priority="1">
      <formula>J25&gt;0</formula>
    </cfRule>
    <cfRule type="expression" dxfId="1172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31.9</v>
      </c>
      <c r="Y2" s="40">
        <v>32.130000000000003</v>
      </c>
      <c r="Z2" s="40">
        <v>31.57</v>
      </c>
      <c r="AA2" s="362">
        <v>31.67</v>
      </c>
      <c r="AB2" s="94">
        <v>341300</v>
      </c>
      <c r="AC2" s="242">
        <v>31.67</v>
      </c>
      <c r="AD2" s="2">
        <f>Y2-Z2</f>
        <v>0.56000000000000227</v>
      </c>
      <c r="AE2" s="137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32.520000000000003</v>
      </c>
      <c r="T3" s="120"/>
      <c r="W3" s="93">
        <v>42829</v>
      </c>
      <c r="X3" s="362">
        <v>32.1</v>
      </c>
      <c r="Y3" s="40">
        <v>32.1</v>
      </c>
      <c r="Z3" s="40">
        <v>31.67</v>
      </c>
      <c r="AA3" s="362">
        <v>31.79</v>
      </c>
      <c r="AB3" s="94">
        <v>466600</v>
      </c>
      <c r="AC3" s="242">
        <v>31.79</v>
      </c>
      <c r="AD3" s="2">
        <f>Y3-Z3</f>
        <v>0.42999999999999972</v>
      </c>
      <c r="AE3" s="137">
        <f>AC3/AC4-1</f>
        <v>-9.6573208722742221E-3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32.520000000000003</v>
      </c>
      <c r="R4" s="499">
        <v>-5.7999999999999996E-3</v>
      </c>
      <c r="T4" s="120"/>
      <c r="W4" s="93">
        <v>42828</v>
      </c>
      <c r="X4" s="362">
        <v>31.84</v>
      </c>
      <c r="Y4" s="40">
        <v>32.200000000000003</v>
      </c>
      <c r="Z4" s="40">
        <v>31.82</v>
      </c>
      <c r="AA4" s="362">
        <v>32.1</v>
      </c>
      <c r="AB4" s="94">
        <v>472300</v>
      </c>
      <c r="AC4" s="242">
        <v>32.1</v>
      </c>
      <c r="AD4" s="2">
        <f t="shared" ref="AD4:AD67" si="0">Y4-Z4</f>
        <v>0.38000000000000256</v>
      </c>
      <c r="AE4" s="137">
        <f t="shared" ref="AE4:AE67" si="1">AC4/AC5-1</f>
        <v>8.4825636192271681E-3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31.85</v>
      </c>
      <c r="Y5" s="40">
        <v>32.090000000000003</v>
      </c>
      <c r="Z5" s="40">
        <v>31.76</v>
      </c>
      <c r="AA5" s="362">
        <v>31.83</v>
      </c>
      <c r="AB5" s="94">
        <v>318100</v>
      </c>
      <c r="AC5" s="242">
        <v>31.83</v>
      </c>
      <c r="AD5" s="2">
        <f t="shared" si="0"/>
        <v>0.33000000000000185</v>
      </c>
      <c r="AE5" s="137">
        <f t="shared" si="1"/>
        <v>-1.5683814303638632E-3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31.52</v>
      </c>
      <c r="Y6" s="40">
        <v>31.92</v>
      </c>
      <c r="Z6" s="40">
        <v>31.46</v>
      </c>
      <c r="AA6" s="362">
        <v>31.88</v>
      </c>
      <c r="AB6" s="94">
        <v>261900</v>
      </c>
      <c r="AC6" s="242">
        <v>31.88</v>
      </c>
      <c r="AD6" s="2">
        <f t="shared" si="0"/>
        <v>0.46000000000000085</v>
      </c>
      <c r="AE6" s="137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2">
        <v>31.87</v>
      </c>
      <c r="Y7" s="40">
        <v>31.88</v>
      </c>
      <c r="Z7" s="40">
        <v>31.46</v>
      </c>
      <c r="AA7" s="362">
        <v>31.68</v>
      </c>
      <c r="AB7" s="94">
        <v>462100</v>
      </c>
      <c r="AC7" s="242">
        <v>31.68</v>
      </c>
      <c r="AD7" s="2">
        <f t="shared" si="0"/>
        <v>0.41999999999999815</v>
      </c>
      <c r="AE7" s="137">
        <f t="shared" si="1"/>
        <v>-5.3375196232339217E-3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31.14</v>
      </c>
      <c r="Y8" s="40">
        <v>31.89</v>
      </c>
      <c r="Z8" s="40">
        <v>30.82</v>
      </c>
      <c r="AA8" s="362">
        <v>31.85</v>
      </c>
      <c r="AB8" s="94">
        <v>888100</v>
      </c>
      <c r="AC8" s="242">
        <v>31.85</v>
      </c>
      <c r="AD8" s="2">
        <f t="shared" si="0"/>
        <v>1.0700000000000003</v>
      </c>
      <c r="AE8" s="137">
        <f t="shared" si="1"/>
        <v>5.2892561983471031E-2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29.99</v>
      </c>
      <c r="Y9" s="40">
        <v>30.37</v>
      </c>
      <c r="Z9" s="40">
        <v>29.99</v>
      </c>
      <c r="AA9" s="362">
        <v>30.25</v>
      </c>
      <c r="AB9" s="94">
        <v>320000</v>
      </c>
      <c r="AC9" s="242">
        <v>30.25</v>
      </c>
      <c r="AD9" s="2">
        <f t="shared" si="0"/>
        <v>0.38000000000000256</v>
      </c>
      <c r="AE9" s="137">
        <f t="shared" si="1"/>
        <v>4.983388704318914E-3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2">
        <v>29.9</v>
      </c>
      <c r="Y10" s="40">
        <v>30.3</v>
      </c>
      <c r="Z10" s="40">
        <v>29.8</v>
      </c>
      <c r="AA10" s="362">
        <v>30.1</v>
      </c>
      <c r="AB10" s="94">
        <v>528400</v>
      </c>
      <c r="AC10" s="242">
        <v>30.1</v>
      </c>
      <c r="AD10" s="2">
        <f t="shared" si="0"/>
        <v>0.5</v>
      </c>
      <c r="AE10" s="137">
        <f t="shared" si="1"/>
        <v>8.3752093802345051E-3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30.09</v>
      </c>
      <c r="Y11" s="40">
        <v>30.2</v>
      </c>
      <c r="Z11" s="40">
        <v>29.79</v>
      </c>
      <c r="AA11" s="362">
        <v>29.85</v>
      </c>
      <c r="AB11" s="94">
        <v>276500</v>
      </c>
      <c r="AC11" s="242">
        <v>29.85</v>
      </c>
      <c r="AD11" s="2">
        <f t="shared" si="0"/>
        <v>0.41000000000000014</v>
      </c>
      <c r="AE11" s="137">
        <f t="shared" si="1"/>
        <v>-8.3056478405315604E-3</v>
      </c>
      <c r="AK11" s="233"/>
      <c r="AN11" s="233"/>
    </row>
    <row r="12" spans="1:40" x14ac:dyDescent="0.25">
      <c r="W12" s="93">
        <v>42816</v>
      </c>
      <c r="X12" s="362">
        <v>30.32</v>
      </c>
      <c r="Y12" s="40">
        <v>30.42</v>
      </c>
      <c r="Z12" s="40">
        <v>29.93</v>
      </c>
      <c r="AA12" s="362">
        <v>30.1</v>
      </c>
      <c r="AB12" s="94">
        <v>235400</v>
      </c>
      <c r="AC12" s="242">
        <v>30.1</v>
      </c>
      <c r="AD12" s="2">
        <f t="shared" si="0"/>
        <v>0.49000000000000199</v>
      </c>
      <c r="AE12" s="137">
        <f t="shared" si="1"/>
        <v>-8.2372322899505468E-3</v>
      </c>
    </row>
    <row r="13" spans="1:40" x14ac:dyDescent="0.25">
      <c r="W13" s="93">
        <v>42815</v>
      </c>
      <c r="X13" s="362">
        <v>30.91</v>
      </c>
      <c r="Y13" s="40">
        <v>31.31</v>
      </c>
      <c r="Z13" s="40">
        <v>30.28</v>
      </c>
      <c r="AA13" s="362">
        <v>30.35</v>
      </c>
      <c r="AB13" s="94">
        <v>607200</v>
      </c>
      <c r="AC13" s="242">
        <v>30.35</v>
      </c>
      <c r="AD13" s="2">
        <f t="shared" si="0"/>
        <v>1.0299999999999976</v>
      </c>
      <c r="AE13" s="137">
        <f t="shared" si="1"/>
        <v>-1.3970110461338558E-2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31.09</v>
      </c>
      <c r="Y14" s="40">
        <v>31.38</v>
      </c>
      <c r="Z14" s="40">
        <v>30.62</v>
      </c>
      <c r="AA14" s="362">
        <v>30.78</v>
      </c>
      <c r="AB14" s="94">
        <v>1149200</v>
      </c>
      <c r="AC14" s="242">
        <v>30.78</v>
      </c>
      <c r="AD14" s="2">
        <f t="shared" si="0"/>
        <v>0.75999999999999801</v>
      </c>
      <c r="AE14" s="137">
        <f t="shared" si="1"/>
        <v>-1.028938906752408E-2</v>
      </c>
    </row>
    <row r="15" spans="1:40" x14ac:dyDescent="0.25">
      <c r="W15" s="93">
        <v>42811</v>
      </c>
      <c r="X15" s="362">
        <v>31.19</v>
      </c>
      <c r="Y15" s="40">
        <v>31.23</v>
      </c>
      <c r="Z15" s="40">
        <v>30.79</v>
      </c>
      <c r="AA15" s="362">
        <v>31.1</v>
      </c>
      <c r="AB15" s="94">
        <v>314400</v>
      </c>
      <c r="AC15" s="242">
        <v>31.1</v>
      </c>
      <c r="AD15" s="2">
        <f t="shared" si="0"/>
        <v>0.44000000000000128</v>
      </c>
      <c r="AE15" s="137">
        <f t="shared" si="1"/>
        <v>-2.8855402372555128E-3</v>
      </c>
      <c r="AK15" s="233"/>
      <c r="AN15" s="233"/>
    </row>
    <row r="16" spans="1:40" x14ac:dyDescent="0.25">
      <c r="W16" s="93">
        <v>42810</v>
      </c>
      <c r="X16" s="362">
        <v>31.31</v>
      </c>
      <c r="Y16" s="40">
        <v>31.51</v>
      </c>
      <c r="Z16" s="40">
        <v>31.02</v>
      </c>
      <c r="AA16" s="362">
        <v>31.19</v>
      </c>
      <c r="AB16" s="94">
        <v>345600</v>
      </c>
      <c r="AC16" s="242">
        <v>31.19</v>
      </c>
      <c r="AD16" s="2">
        <f t="shared" si="0"/>
        <v>0.49000000000000199</v>
      </c>
      <c r="AE16" s="137">
        <f t="shared" si="1"/>
        <v>-3.5143769968051242E-3</v>
      </c>
    </row>
    <row r="17" spans="1:40" x14ac:dyDescent="0.25">
      <c r="W17" s="93">
        <v>42809</v>
      </c>
      <c r="X17" s="362">
        <v>30.8</v>
      </c>
      <c r="Y17" s="40">
        <v>31.58</v>
      </c>
      <c r="Z17" s="40">
        <v>30.8</v>
      </c>
      <c r="AA17" s="362">
        <v>31.3</v>
      </c>
      <c r="AB17" s="94">
        <v>598800</v>
      </c>
      <c r="AC17" s="242">
        <v>31.3</v>
      </c>
      <c r="AD17" s="2">
        <f t="shared" si="0"/>
        <v>0.77999999999999758</v>
      </c>
      <c r="AE17" s="137">
        <f t="shared" si="1"/>
        <v>1.065547303842429E-2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31</v>
      </c>
      <c r="Y18" s="40">
        <v>31.02</v>
      </c>
      <c r="Z18" s="40">
        <v>30.66</v>
      </c>
      <c r="AA18" s="362">
        <v>30.97</v>
      </c>
      <c r="AB18" s="94">
        <v>236500</v>
      </c>
      <c r="AC18" s="242">
        <v>30.97</v>
      </c>
      <c r="AD18" s="2">
        <f t="shared" si="0"/>
        <v>0.35999999999999943</v>
      </c>
      <c r="AE18" s="137">
        <f t="shared" si="1"/>
        <v>-2.8976175144881378E-3</v>
      </c>
    </row>
    <row r="19" spans="1:40" x14ac:dyDescent="0.25">
      <c r="W19" s="93">
        <v>42807</v>
      </c>
      <c r="X19" s="362">
        <v>30.56</v>
      </c>
      <c r="Y19" s="40">
        <v>31.14</v>
      </c>
      <c r="Z19" s="40">
        <v>30.56</v>
      </c>
      <c r="AA19" s="362">
        <v>31.06</v>
      </c>
      <c r="AB19" s="94">
        <v>348200</v>
      </c>
      <c r="AC19" s="242">
        <v>31.06</v>
      </c>
      <c r="AD19" s="2">
        <f t="shared" si="0"/>
        <v>0.58000000000000185</v>
      </c>
      <c r="AE19" s="137">
        <f t="shared" si="1"/>
        <v>6.8071312803887896E-3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30.96</v>
      </c>
      <c r="Y20" s="40">
        <v>30.98</v>
      </c>
      <c r="Z20" s="40">
        <v>30.6</v>
      </c>
      <c r="AA20" s="362">
        <v>30.85</v>
      </c>
      <c r="AB20" s="94">
        <v>256300</v>
      </c>
      <c r="AC20" s="242">
        <v>30.85</v>
      </c>
      <c r="AD20" s="2">
        <f t="shared" si="0"/>
        <v>0.37999999999999901</v>
      </c>
      <c r="AE20" s="137">
        <f t="shared" si="1"/>
        <v>1.9486846378695688E-3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42803</v>
      </c>
      <c r="X21" s="362">
        <v>30.79</v>
      </c>
      <c r="Y21" s="40">
        <v>30.9</v>
      </c>
      <c r="Z21" s="40">
        <v>30.61</v>
      </c>
      <c r="AA21" s="362">
        <v>30.79</v>
      </c>
      <c r="AB21" s="94">
        <v>235100</v>
      </c>
      <c r="AC21" s="242">
        <v>30.79</v>
      </c>
      <c r="AD21" s="2">
        <f t="shared" si="0"/>
        <v>0.28999999999999915</v>
      </c>
      <c r="AE21" s="137">
        <f t="shared" si="1"/>
        <v>-3.2467532467539417E-4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362">
        <v>30.76</v>
      </c>
      <c r="Y22" s="40">
        <v>30.88</v>
      </c>
      <c r="Z22" s="40">
        <v>30.63</v>
      </c>
      <c r="AA22" s="362">
        <v>30.8</v>
      </c>
      <c r="AB22" s="94">
        <v>254700</v>
      </c>
      <c r="AC22" s="242">
        <v>30.8</v>
      </c>
      <c r="AD22" s="2">
        <f t="shared" si="0"/>
        <v>0.25</v>
      </c>
      <c r="AE22" s="137">
        <f t="shared" si="1"/>
        <v>2.277904328018332E-3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362">
        <v>31.07</v>
      </c>
      <c r="Y23" s="40">
        <v>31.09</v>
      </c>
      <c r="Z23" s="40">
        <v>30.67</v>
      </c>
      <c r="AA23" s="362">
        <v>30.73</v>
      </c>
      <c r="AB23" s="94">
        <v>319300</v>
      </c>
      <c r="AC23" s="242">
        <v>30.73</v>
      </c>
      <c r="AD23" s="2">
        <f t="shared" si="0"/>
        <v>0.41999999999999815</v>
      </c>
      <c r="AE23" s="137">
        <f t="shared" si="1"/>
        <v>-1.1261261261261146E-2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362">
        <v>31.01</v>
      </c>
      <c r="Y24" s="40">
        <v>31.24</v>
      </c>
      <c r="Z24" s="40">
        <v>30.93</v>
      </c>
      <c r="AA24" s="362">
        <v>31.08</v>
      </c>
      <c r="AB24" s="94">
        <v>348500</v>
      </c>
      <c r="AC24" s="242">
        <v>31.08</v>
      </c>
      <c r="AD24" s="2">
        <f t="shared" si="0"/>
        <v>0.30999999999999872</v>
      </c>
      <c r="AE24" s="137">
        <f t="shared" si="1"/>
        <v>-2.2471910112359383E-3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362">
        <v>31.1</v>
      </c>
      <c r="Y25" s="40">
        <v>31.36</v>
      </c>
      <c r="Z25" s="40">
        <v>31.03</v>
      </c>
      <c r="AA25" s="362">
        <v>31.15</v>
      </c>
      <c r="AB25" s="94">
        <v>706300</v>
      </c>
      <c r="AC25" s="242">
        <v>31.15</v>
      </c>
      <c r="AD25" s="2">
        <f t="shared" si="0"/>
        <v>0.32999999999999829</v>
      </c>
      <c r="AE25" s="137">
        <f t="shared" si="1"/>
        <v>-7.9617834394904996E-3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362">
        <v>31.54</v>
      </c>
      <c r="Y26" s="40">
        <v>31.54</v>
      </c>
      <c r="Z26" s="40">
        <v>31.24</v>
      </c>
      <c r="AA26" s="362">
        <v>31.4</v>
      </c>
      <c r="AB26" s="94">
        <v>283100</v>
      </c>
      <c r="AC26" s="242">
        <v>31.4</v>
      </c>
      <c r="AD26" s="2">
        <f t="shared" si="0"/>
        <v>0.30000000000000071</v>
      </c>
      <c r="AE26" s="137">
        <f t="shared" si="1"/>
        <v>-2.8580501746585663E-3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362">
        <v>31.49</v>
      </c>
      <c r="Y27" s="40">
        <v>31.77</v>
      </c>
      <c r="Z27" s="40">
        <v>31.3</v>
      </c>
      <c r="AA27" s="362">
        <v>31.49</v>
      </c>
      <c r="AB27" s="94">
        <v>375800</v>
      </c>
      <c r="AC27" s="242">
        <v>31.49</v>
      </c>
      <c r="AD27" s="2">
        <f t="shared" si="0"/>
        <v>0.46999999999999886</v>
      </c>
      <c r="AE27" s="137">
        <f t="shared" si="1"/>
        <v>1.9090041361755627E-3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362">
        <v>31.82</v>
      </c>
      <c r="Y28" s="40">
        <v>32.03</v>
      </c>
      <c r="Z28" s="40">
        <v>31.29</v>
      </c>
      <c r="AA28" s="362">
        <v>31.43</v>
      </c>
      <c r="AB28" s="94">
        <v>613700</v>
      </c>
      <c r="AC28" s="242">
        <v>31.43</v>
      </c>
      <c r="AD28" s="2">
        <f t="shared" si="0"/>
        <v>0.74000000000000199</v>
      </c>
      <c r="AE28" s="137">
        <f t="shared" si="1"/>
        <v>-1.9344773790951564E-2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362">
        <v>31.32</v>
      </c>
      <c r="Y29" s="40">
        <v>32.07</v>
      </c>
      <c r="Z29" s="40">
        <v>31.18</v>
      </c>
      <c r="AA29" s="362">
        <v>32.049999999999997</v>
      </c>
      <c r="AB29" s="94">
        <v>922800</v>
      </c>
      <c r="AC29" s="242">
        <v>32.049999999999997</v>
      </c>
      <c r="AD29" s="2">
        <f t="shared" si="0"/>
        <v>0.89000000000000057</v>
      </c>
      <c r="AE29" s="137">
        <f t="shared" si="1"/>
        <v>2.2654754307594116E-2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362">
        <v>31.28</v>
      </c>
      <c r="Y30" s="40">
        <v>31.45</v>
      </c>
      <c r="Z30" s="40">
        <v>31.25</v>
      </c>
      <c r="AA30" s="362">
        <v>31.34</v>
      </c>
      <c r="AB30" s="94">
        <v>561000</v>
      </c>
      <c r="AC30" s="242">
        <v>31.34</v>
      </c>
      <c r="AD30" s="2">
        <f t="shared" si="0"/>
        <v>0.19999999999999929</v>
      </c>
      <c r="AE30" s="137">
        <f t="shared" si="1"/>
        <v>-3.1806615776082126E-3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42789</v>
      </c>
      <c r="X31" s="362">
        <v>31.69</v>
      </c>
      <c r="Y31" s="40">
        <v>31.82</v>
      </c>
      <c r="Z31" s="40">
        <v>31.39</v>
      </c>
      <c r="AA31" s="362">
        <v>31.44</v>
      </c>
      <c r="AB31" s="94">
        <v>553200</v>
      </c>
      <c r="AC31" s="242">
        <v>31.44</v>
      </c>
      <c r="AD31" s="2">
        <f t="shared" si="0"/>
        <v>0.42999999999999972</v>
      </c>
      <c r="AE31" s="137">
        <f t="shared" si="1"/>
        <v>-9.1396155058304229E-3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362">
        <v>31.5</v>
      </c>
      <c r="Y32" s="40">
        <v>31.98</v>
      </c>
      <c r="Z32" s="40">
        <v>31.5</v>
      </c>
      <c r="AA32" s="362">
        <v>31.73</v>
      </c>
      <c r="AB32" s="94">
        <v>467100</v>
      </c>
      <c r="AC32" s="242">
        <v>31.73</v>
      </c>
      <c r="AD32" s="2">
        <f t="shared" si="0"/>
        <v>0.48000000000000043</v>
      </c>
      <c r="AE32" s="137">
        <f t="shared" si="1"/>
        <v>3.79626700411273E-3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362">
        <v>31.27</v>
      </c>
      <c r="Y33" s="40">
        <v>31.74</v>
      </c>
      <c r="Z33" s="40">
        <v>31.08</v>
      </c>
      <c r="AA33" s="362">
        <v>31.61</v>
      </c>
      <c r="AB33" s="94">
        <v>358700</v>
      </c>
      <c r="AC33" s="242">
        <v>31.61</v>
      </c>
      <c r="AD33" s="2">
        <f t="shared" si="0"/>
        <v>0.66000000000000014</v>
      </c>
      <c r="AE33" s="137">
        <f t="shared" si="1"/>
        <v>8.2934609250397973E-3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31.19</v>
      </c>
      <c r="Y34" s="40">
        <v>31.41</v>
      </c>
      <c r="Z34" s="40">
        <v>30.97</v>
      </c>
      <c r="AA34" s="362">
        <v>31.35</v>
      </c>
      <c r="AB34" s="94">
        <v>416000</v>
      </c>
      <c r="AC34" s="242">
        <v>31.35</v>
      </c>
      <c r="AD34" s="2">
        <f t="shared" si="0"/>
        <v>0.44000000000000128</v>
      </c>
      <c r="AE34" s="137">
        <f t="shared" si="1"/>
        <v>4.8076923076922906E-3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31.56</v>
      </c>
      <c r="Y35" s="40">
        <v>31.61</v>
      </c>
      <c r="Z35" s="40">
        <v>31.06</v>
      </c>
      <c r="AA35" s="362">
        <v>31.2</v>
      </c>
      <c r="AB35" s="94">
        <v>459800</v>
      </c>
      <c r="AC35" s="242">
        <v>31.2</v>
      </c>
      <c r="AD35" s="2">
        <f t="shared" si="0"/>
        <v>0.55000000000000071</v>
      </c>
      <c r="AE35" s="137">
        <f t="shared" si="1"/>
        <v>-7.6335877862595547E-3</v>
      </c>
    </row>
    <row r="36" spans="1:31" x14ac:dyDescent="0.25">
      <c r="W36" s="93">
        <v>42781</v>
      </c>
      <c r="X36" s="362">
        <v>31.84</v>
      </c>
      <c r="Y36" s="40">
        <v>31.92</v>
      </c>
      <c r="Z36" s="40">
        <v>31.42</v>
      </c>
      <c r="AA36" s="362">
        <v>31.44</v>
      </c>
      <c r="AB36" s="94">
        <v>501300</v>
      </c>
      <c r="AC36" s="242">
        <v>31.44</v>
      </c>
      <c r="AD36" s="2">
        <f t="shared" si="0"/>
        <v>0.5</v>
      </c>
      <c r="AE36" s="137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2">
        <v>31.56</v>
      </c>
      <c r="Y37" s="40">
        <v>31.98</v>
      </c>
      <c r="Z37" s="40">
        <v>31.56</v>
      </c>
      <c r="AA37" s="362">
        <v>31.95</v>
      </c>
      <c r="AB37" s="94">
        <v>367800</v>
      </c>
      <c r="AC37" s="242">
        <v>31.95</v>
      </c>
      <c r="AD37" s="2">
        <f t="shared" si="0"/>
        <v>0.42000000000000171</v>
      </c>
      <c r="AE37" s="137">
        <f t="shared" si="1"/>
        <v>1.2678288431061668E-2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31.4</v>
      </c>
      <c r="Y38" s="40">
        <v>31.59</v>
      </c>
      <c r="Z38" s="40">
        <v>31.2</v>
      </c>
      <c r="AA38" s="362">
        <v>31.55</v>
      </c>
      <c r="AB38" s="94">
        <v>608400</v>
      </c>
      <c r="AC38" s="242">
        <v>31.55</v>
      </c>
      <c r="AD38" s="2">
        <f t="shared" si="0"/>
        <v>0.39000000000000057</v>
      </c>
      <c r="AE38" s="137">
        <f t="shared" si="1"/>
        <v>7.022023619533968E-3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31.47</v>
      </c>
      <c r="Y39" s="40">
        <v>31.64</v>
      </c>
      <c r="Z39" s="40">
        <v>31.04</v>
      </c>
      <c r="AA39" s="362">
        <v>31.33</v>
      </c>
      <c r="AB39" s="94">
        <v>491100</v>
      </c>
      <c r="AC39" s="242">
        <v>31.33</v>
      </c>
      <c r="AD39" s="2">
        <f t="shared" si="0"/>
        <v>0.60000000000000142</v>
      </c>
      <c r="AE39" s="137">
        <f t="shared" si="1"/>
        <v>-4.4486812837623013E-3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35.772000000000006</v>
      </c>
      <c r="R40" s="34"/>
      <c r="T40" s="96" t="s">
        <v>98</v>
      </c>
      <c r="U40" s="128">
        <v>31.79</v>
      </c>
      <c r="W40" s="93">
        <v>42775</v>
      </c>
      <c r="X40" s="362">
        <v>31.14</v>
      </c>
      <c r="Y40" s="40">
        <v>31.56</v>
      </c>
      <c r="Z40" s="40">
        <v>31.02</v>
      </c>
      <c r="AA40" s="362">
        <v>31.47</v>
      </c>
      <c r="AB40" s="94">
        <v>597900</v>
      </c>
      <c r="AC40" s="242">
        <v>31.47</v>
      </c>
      <c r="AD40" s="2">
        <f t="shared" si="0"/>
        <v>0.53999999999999915</v>
      </c>
      <c r="AE40" s="137">
        <f t="shared" si="1"/>
        <v>1.2548262548262468E-2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35.446800000000003</v>
      </c>
      <c r="R41" s="34"/>
      <c r="T41" s="86" t="s">
        <v>99</v>
      </c>
      <c r="U41" s="129">
        <v>31.9</v>
      </c>
      <c r="W41" s="93">
        <v>42774</v>
      </c>
      <c r="X41" s="362">
        <v>30.82</v>
      </c>
      <c r="Y41" s="40">
        <v>31.19</v>
      </c>
      <c r="Z41" s="40">
        <v>30.72</v>
      </c>
      <c r="AA41" s="362">
        <v>31.08</v>
      </c>
      <c r="AB41" s="94">
        <v>950100</v>
      </c>
      <c r="AC41" s="242">
        <v>31.08</v>
      </c>
      <c r="AD41" s="2">
        <f t="shared" si="0"/>
        <v>0.47000000000000242</v>
      </c>
      <c r="AE41" s="137">
        <f t="shared" si="1"/>
        <v>1.073170731707318E-2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35.121600000000008</v>
      </c>
      <c r="R42" s="34"/>
      <c r="T42" s="86" t="s">
        <v>100</v>
      </c>
      <c r="U42" s="129" t="s">
        <v>129</v>
      </c>
      <c r="W42" s="93">
        <v>42773</v>
      </c>
      <c r="X42" s="362">
        <v>31.54</v>
      </c>
      <c r="Y42" s="40">
        <v>31.9</v>
      </c>
      <c r="Z42" s="40">
        <v>29.15</v>
      </c>
      <c r="AA42" s="362">
        <v>30.75</v>
      </c>
      <c r="AB42" s="94">
        <v>2003200</v>
      </c>
      <c r="AC42" s="242">
        <v>30.75</v>
      </c>
      <c r="AD42" s="2">
        <f t="shared" si="0"/>
        <v>2.75</v>
      </c>
      <c r="AE42" s="137">
        <f t="shared" si="1"/>
        <v>-4.4437538844002478E-2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34.796400000000006</v>
      </c>
      <c r="R43" s="82"/>
      <c r="T43" s="86" t="s">
        <v>101</v>
      </c>
      <c r="U43" s="129" t="s">
        <v>586</v>
      </c>
      <c r="W43" s="93">
        <v>42772</v>
      </c>
      <c r="X43" s="362">
        <v>31.72</v>
      </c>
      <c r="Y43" s="40">
        <v>32.26</v>
      </c>
      <c r="Z43" s="40">
        <v>31.58</v>
      </c>
      <c r="AA43" s="362">
        <v>32.18</v>
      </c>
      <c r="AB43" s="94">
        <v>704900</v>
      </c>
      <c r="AC43" s="242">
        <v>32.18</v>
      </c>
      <c r="AD43" s="2">
        <f t="shared" si="0"/>
        <v>0.67999999999999972</v>
      </c>
      <c r="AE43" s="137">
        <f t="shared" si="1"/>
        <v>1.0678391959799027E-2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34.471200000000003</v>
      </c>
      <c r="R44" s="82"/>
      <c r="T44" s="86" t="s">
        <v>102</v>
      </c>
      <c r="U44" s="129">
        <v>37.67</v>
      </c>
      <c r="W44" s="93">
        <v>42769</v>
      </c>
      <c r="X44" s="362">
        <v>31.43</v>
      </c>
      <c r="Y44" s="40">
        <v>32.03</v>
      </c>
      <c r="Z44" s="40">
        <v>31.37</v>
      </c>
      <c r="AA44" s="362">
        <v>31.84</v>
      </c>
      <c r="AB44" s="94">
        <v>503400</v>
      </c>
      <c r="AC44" s="242">
        <v>31.84</v>
      </c>
      <c r="AD44" s="2">
        <f t="shared" si="0"/>
        <v>0.66000000000000014</v>
      </c>
      <c r="AE44" s="137">
        <f t="shared" si="1"/>
        <v>1.1435832274459878E-2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34.146000000000008</v>
      </c>
      <c r="R45" s="82"/>
      <c r="T45" s="86" t="s">
        <v>103</v>
      </c>
      <c r="U45" s="129">
        <v>0.445183</v>
      </c>
      <c r="W45" s="93">
        <v>42768</v>
      </c>
      <c r="X45" s="362">
        <v>31.7</v>
      </c>
      <c r="Y45" s="40">
        <v>31.83</v>
      </c>
      <c r="Z45" s="40">
        <v>31.37</v>
      </c>
      <c r="AA45" s="362">
        <v>31.48</v>
      </c>
      <c r="AB45" s="94">
        <v>417200</v>
      </c>
      <c r="AC45" s="242">
        <v>31.48</v>
      </c>
      <c r="AD45" s="2">
        <f t="shared" si="0"/>
        <v>0.4599999999999973</v>
      </c>
      <c r="AE45" s="137">
        <f t="shared" si="1"/>
        <v>-5.3712480252764427E-3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33.820800000000006</v>
      </c>
      <c r="R46" s="82"/>
      <c r="T46" s="86" t="s">
        <v>122</v>
      </c>
      <c r="U46" s="231" t="s">
        <v>451</v>
      </c>
      <c r="W46" s="93">
        <v>42767</v>
      </c>
      <c r="X46" s="362">
        <v>31.89</v>
      </c>
      <c r="Y46" s="40">
        <v>32.17</v>
      </c>
      <c r="Z46" s="40">
        <v>31.47</v>
      </c>
      <c r="AA46" s="362">
        <v>31.65</v>
      </c>
      <c r="AB46" s="94">
        <v>357500</v>
      </c>
      <c r="AC46" s="242">
        <v>31.65</v>
      </c>
      <c r="AD46" s="2">
        <f t="shared" si="0"/>
        <v>0.70000000000000284</v>
      </c>
      <c r="AE46" s="137">
        <f t="shared" si="1"/>
        <v>-6.5913370998117449E-3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33.495600000000003</v>
      </c>
      <c r="R47" s="82"/>
      <c r="T47" s="86"/>
      <c r="U47" s="129"/>
      <c r="W47" s="93">
        <v>42766</v>
      </c>
      <c r="X47" s="362">
        <v>31.04</v>
      </c>
      <c r="Y47" s="40">
        <v>31.87</v>
      </c>
      <c r="Z47" s="40">
        <v>30.97</v>
      </c>
      <c r="AA47" s="362">
        <v>31.86</v>
      </c>
      <c r="AB47" s="94">
        <v>623000</v>
      </c>
      <c r="AC47" s="242">
        <v>31.86</v>
      </c>
      <c r="AD47" s="2">
        <f t="shared" si="0"/>
        <v>0.90000000000000213</v>
      </c>
      <c r="AE47" s="137">
        <f t="shared" si="1"/>
        <v>2.774193548387105E-2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33.170400000000001</v>
      </c>
      <c r="R48" s="82"/>
      <c r="T48" s="86" t="s">
        <v>105</v>
      </c>
      <c r="U48" s="129" t="s">
        <v>653</v>
      </c>
      <c r="W48" s="93">
        <v>42765</v>
      </c>
      <c r="X48" s="362">
        <v>31.05</v>
      </c>
      <c r="Y48" s="40">
        <v>31.15</v>
      </c>
      <c r="Z48" s="40">
        <v>30.82</v>
      </c>
      <c r="AA48" s="362">
        <v>31</v>
      </c>
      <c r="AB48" s="94">
        <v>453200</v>
      </c>
      <c r="AC48" s="242">
        <v>31</v>
      </c>
      <c r="AD48" s="2">
        <f t="shared" si="0"/>
        <v>0.32999999999999829</v>
      </c>
      <c r="AE48" s="137">
        <f t="shared" si="1"/>
        <v>-7.0467648942984518E-3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32.845200000000006</v>
      </c>
      <c r="R49" s="82"/>
      <c r="T49" s="86" t="s">
        <v>106</v>
      </c>
      <c r="U49" s="129" t="s">
        <v>348</v>
      </c>
      <c r="W49" s="93">
        <v>42762</v>
      </c>
      <c r="X49" s="362">
        <v>31.63</v>
      </c>
      <c r="Y49" s="40">
        <v>31.63</v>
      </c>
      <c r="Z49" s="40">
        <v>31.03</v>
      </c>
      <c r="AA49" s="362">
        <v>31.22</v>
      </c>
      <c r="AB49" s="94">
        <v>809200</v>
      </c>
      <c r="AC49" s="242">
        <v>31.22</v>
      </c>
      <c r="AD49" s="2">
        <f t="shared" si="0"/>
        <v>0.59999999999999787</v>
      </c>
      <c r="AE49" s="137">
        <f t="shared" si="1"/>
        <v>-9.2034274833386887E-3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32.520000000000003</v>
      </c>
      <c r="R50" s="82"/>
      <c r="T50" s="86" t="s">
        <v>107</v>
      </c>
      <c r="U50" s="130">
        <v>349106</v>
      </c>
      <c r="W50" s="93">
        <v>42761</v>
      </c>
      <c r="X50" s="362">
        <v>31.42</v>
      </c>
      <c r="Y50" s="40">
        <v>31.8</v>
      </c>
      <c r="Z50" s="40">
        <v>31.27</v>
      </c>
      <c r="AA50" s="362">
        <v>31.51</v>
      </c>
      <c r="AB50" s="94">
        <v>839400</v>
      </c>
      <c r="AC50" s="242">
        <v>31.51</v>
      </c>
      <c r="AD50" s="2">
        <f t="shared" si="0"/>
        <v>0.53000000000000114</v>
      </c>
      <c r="AE50" s="137">
        <f t="shared" si="1"/>
        <v>3.5031847133759619E-3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32.194800000000001</v>
      </c>
      <c r="R51" s="82"/>
      <c r="T51" s="86" t="s">
        <v>110</v>
      </c>
      <c r="U51" s="130">
        <v>511145</v>
      </c>
      <c r="W51" s="93">
        <v>42760</v>
      </c>
      <c r="X51" s="362">
        <v>31.65</v>
      </c>
      <c r="Y51" s="40">
        <v>31.83</v>
      </c>
      <c r="Z51" s="40">
        <v>31.38</v>
      </c>
      <c r="AA51" s="362">
        <v>31.4</v>
      </c>
      <c r="AB51" s="94">
        <v>807700</v>
      </c>
      <c r="AC51" s="242">
        <v>31.4</v>
      </c>
      <c r="AD51" s="2">
        <f t="shared" si="0"/>
        <v>0.44999999999999929</v>
      </c>
      <c r="AE51" s="137">
        <f t="shared" si="1"/>
        <v>-8.5254183770130387E-3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31.869600000000002</v>
      </c>
      <c r="R52" s="82"/>
      <c r="T52" s="86" t="s">
        <v>108</v>
      </c>
      <c r="U52" s="129" t="s">
        <v>654</v>
      </c>
      <c r="W52" s="93">
        <v>42759</v>
      </c>
      <c r="X52" s="362">
        <v>31.76</v>
      </c>
      <c r="Y52" s="40">
        <v>31.84</v>
      </c>
      <c r="Z52" s="40">
        <v>31.32</v>
      </c>
      <c r="AA52" s="362">
        <v>31.67</v>
      </c>
      <c r="AB52" s="94">
        <v>1254600</v>
      </c>
      <c r="AC52" s="242">
        <v>31.67</v>
      </c>
      <c r="AD52" s="2">
        <f t="shared" si="0"/>
        <v>0.51999999999999957</v>
      </c>
      <c r="AE52" s="137">
        <f t="shared" si="1"/>
        <v>-4.0880503144653524E-3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31.544400000000003</v>
      </c>
      <c r="R53" s="82"/>
      <c r="T53" s="86" t="s">
        <v>111</v>
      </c>
      <c r="U53" s="129">
        <v>15.28</v>
      </c>
      <c r="W53" s="93">
        <v>42758</v>
      </c>
      <c r="X53" s="362">
        <v>32.340000000000003</v>
      </c>
      <c r="Y53" s="40">
        <v>32.340000000000003</v>
      </c>
      <c r="Z53" s="40">
        <v>31.79</v>
      </c>
      <c r="AA53" s="362">
        <v>31.8</v>
      </c>
      <c r="AB53" s="94">
        <v>430400</v>
      </c>
      <c r="AC53" s="242">
        <v>31.8</v>
      </c>
      <c r="AD53" s="2">
        <f t="shared" si="0"/>
        <v>0.55000000000000426</v>
      </c>
      <c r="AE53" s="137">
        <f t="shared" si="1"/>
        <v>-1.8215498610682279E-2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31.219200000000001</v>
      </c>
      <c r="R54" s="82"/>
      <c r="T54" s="86" t="s">
        <v>112</v>
      </c>
      <c r="U54" s="129">
        <v>2.0699999999999998</v>
      </c>
      <c r="W54" s="93">
        <v>42755</v>
      </c>
      <c r="X54" s="362">
        <v>32.5</v>
      </c>
      <c r="Y54" s="40">
        <v>32.56</v>
      </c>
      <c r="Z54" s="40">
        <v>32.29</v>
      </c>
      <c r="AA54" s="362">
        <v>32.39</v>
      </c>
      <c r="AB54" s="94">
        <v>214600</v>
      </c>
      <c r="AC54" s="242">
        <v>32.39</v>
      </c>
      <c r="AD54" s="2">
        <f t="shared" si="0"/>
        <v>0.27000000000000313</v>
      </c>
      <c r="AE54" s="137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30.894000000000002</v>
      </c>
      <c r="R55" s="82"/>
      <c r="T55" s="86" t="s">
        <v>109</v>
      </c>
      <c r="U55" s="129" t="s">
        <v>123</v>
      </c>
      <c r="W55" s="93">
        <v>42754</v>
      </c>
      <c r="X55" s="362">
        <v>32.69</v>
      </c>
      <c r="Y55" s="40">
        <v>32.79</v>
      </c>
      <c r="Z55" s="40">
        <v>32.33</v>
      </c>
      <c r="AA55" s="362">
        <v>32.35</v>
      </c>
      <c r="AB55" s="94">
        <v>347500</v>
      </c>
      <c r="AC55" s="242">
        <v>32.35</v>
      </c>
      <c r="AD55" s="2">
        <f t="shared" si="0"/>
        <v>0.46000000000000085</v>
      </c>
      <c r="AE55" s="137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30.5688</v>
      </c>
      <c r="R56" s="82"/>
      <c r="W56" s="93">
        <v>42753</v>
      </c>
      <c r="X56" s="362">
        <v>32.75</v>
      </c>
      <c r="Y56" s="40">
        <v>32.86</v>
      </c>
      <c r="Z56" s="40">
        <v>32.4</v>
      </c>
      <c r="AA56" s="362">
        <v>32.770000000000003</v>
      </c>
      <c r="AB56" s="94">
        <v>353000</v>
      </c>
      <c r="AC56" s="242">
        <v>32.770000000000003</v>
      </c>
      <c r="AD56" s="2">
        <f t="shared" si="0"/>
        <v>0.46000000000000085</v>
      </c>
      <c r="AE56" s="137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30.243600000000004</v>
      </c>
      <c r="R57" s="82"/>
      <c r="W57" s="93">
        <v>42752</v>
      </c>
      <c r="X57" s="362">
        <v>32.46</v>
      </c>
      <c r="Y57" s="40">
        <v>32.67</v>
      </c>
      <c r="Z57" s="40">
        <v>32.159999999999997</v>
      </c>
      <c r="AA57" s="362">
        <v>32.64</v>
      </c>
      <c r="AB57" s="94">
        <v>283300</v>
      </c>
      <c r="AC57" s="242">
        <v>32.64</v>
      </c>
      <c r="AD57" s="2">
        <f t="shared" si="0"/>
        <v>0.51000000000000512</v>
      </c>
      <c r="AE57" s="137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29.918400000000005</v>
      </c>
      <c r="R58" s="82"/>
      <c r="W58" s="93">
        <v>42748</v>
      </c>
      <c r="X58" s="362">
        <v>32.15</v>
      </c>
      <c r="Y58" s="40">
        <v>32.54</v>
      </c>
      <c r="Z58" s="40">
        <v>32.04</v>
      </c>
      <c r="AA58" s="362">
        <v>32.520000000000003</v>
      </c>
      <c r="AB58" s="94">
        <v>257000</v>
      </c>
      <c r="AC58" s="242">
        <v>32.520000000000003</v>
      </c>
      <c r="AD58" s="2">
        <f t="shared" si="0"/>
        <v>0.5</v>
      </c>
      <c r="AE58" s="137">
        <f t="shared" si="1"/>
        <v>1.2768607910308427E-2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29.593200000000003</v>
      </c>
      <c r="R59" s="82"/>
      <c r="W59" s="93">
        <v>42747</v>
      </c>
      <c r="X59" s="362">
        <v>31.7</v>
      </c>
      <c r="Y59" s="40">
        <v>32.15</v>
      </c>
      <c r="Z59" s="40">
        <v>31.61</v>
      </c>
      <c r="AA59" s="362">
        <v>32.11</v>
      </c>
      <c r="AB59" s="94">
        <v>244700</v>
      </c>
      <c r="AC59" s="242">
        <v>32.11</v>
      </c>
      <c r="AD59" s="2">
        <f t="shared" si="0"/>
        <v>0.53999999999999915</v>
      </c>
      <c r="AE59" s="137">
        <f t="shared" si="1"/>
        <v>8.1632653061223248E-3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29.268000000000004</v>
      </c>
      <c r="R60" s="82"/>
      <c r="W60" s="93">
        <v>42746</v>
      </c>
      <c r="X60" s="362">
        <v>32.090000000000003</v>
      </c>
      <c r="Y60" s="40">
        <v>32.24</v>
      </c>
      <c r="Z60" s="40">
        <v>31.69</v>
      </c>
      <c r="AA60" s="362">
        <v>31.85</v>
      </c>
      <c r="AB60" s="94">
        <v>292300</v>
      </c>
      <c r="AC60" s="242">
        <v>31.85</v>
      </c>
      <c r="AD60" s="2">
        <f t="shared" si="0"/>
        <v>0.55000000000000071</v>
      </c>
      <c r="AE60" s="137">
        <f t="shared" si="1"/>
        <v>-7.7881619937694158E-3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42745</v>
      </c>
      <c r="X61" s="362">
        <v>31.82</v>
      </c>
      <c r="Y61" s="40">
        <v>32.340000000000003</v>
      </c>
      <c r="Z61" s="40">
        <v>31.66</v>
      </c>
      <c r="AA61" s="362">
        <v>32.1</v>
      </c>
      <c r="AB61" s="94">
        <v>581000</v>
      </c>
      <c r="AC61" s="242">
        <v>32.1</v>
      </c>
      <c r="AD61" s="2">
        <f t="shared" si="0"/>
        <v>0.68000000000000327</v>
      </c>
      <c r="AE61" s="137">
        <f t="shared" si="1"/>
        <v>9.7514941805600941E-3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42744</v>
      </c>
      <c r="X62" s="362">
        <v>31.86</v>
      </c>
      <c r="Y62" s="40">
        <v>31.97</v>
      </c>
      <c r="Z62" s="40">
        <v>31.62</v>
      </c>
      <c r="AA62" s="362">
        <v>31.79</v>
      </c>
      <c r="AB62" s="94">
        <v>678600</v>
      </c>
      <c r="AC62" s="242">
        <v>31.79</v>
      </c>
      <c r="AD62" s="2">
        <f t="shared" si="0"/>
        <v>0.34999999999999787</v>
      </c>
      <c r="AE62" s="137">
        <f t="shared" si="1"/>
        <v>-6.2873310279787376E-4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42741</v>
      </c>
      <c r="X63" s="362">
        <v>31.12</v>
      </c>
      <c r="Y63" s="40">
        <v>31.82</v>
      </c>
      <c r="Z63" s="40">
        <v>31</v>
      </c>
      <c r="AA63" s="362">
        <v>31.81</v>
      </c>
      <c r="AB63" s="94">
        <v>376900</v>
      </c>
      <c r="AC63" s="242">
        <v>31.81</v>
      </c>
      <c r="AD63" s="2">
        <f t="shared" si="0"/>
        <v>0.82000000000000028</v>
      </c>
      <c r="AE63" s="137">
        <f t="shared" si="1"/>
        <v>2.2172236503855913E-2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42740</v>
      </c>
      <c r="X64" s="362">
        <v>31.12</v>
      </c>
      <c r="Y64" s="40">
        <v>31.55</v>
      </c>
      <c r="Z64" s="40">
        <v>31.03</v>
      </c>
      <c r="AA64" s="362">
        <v>31.12</v>
      </c>
      <c r="AB64" s="94">
        <v>871500</v>
      </c>
      <c r="AC64" s="242">
        <v>31.12</v>
      </c>
      <c r="AD64" s="2">
        <f t="shared" si="0"/>
        <v>0.51999999999999957</v>
      </c>
      <c r="AE64" s="137">
        <f t="shared" si="1"/>
        <v>3.2144005143042165E-4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42739</v>
      </c>
      <c r="X65" s="362">
        <v>31.05</v>
      </c>
      <c r="Y65" s="40">
        <v>31.65</v>
      </c>
      <c r="Z65" s="40">
        <v>30.96</v>
      </c>
      <c r="AA65" s="362">
        <v>31.11</v>
      </c>
      <c r="AB65" s="94">
        <v>895800</v>
      </c>
      <c r="AC65" s="242">
        <v>31.11</v>
      </c>
      <c r="AD65" s="2">
        <f t="shared" si="0"/>
        <v>0.68999999999999773</v>
      </c>
      <c r="AE65" s="137">
        <f t="shared" si="1"/>
        <v>9.6525096525090781E-4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42738</v>
      </c>
      <c r="X66" s="362">
        <v>30.41</v>
      </c>
      <c r="Y66" s="40">
        <v>31.08</v>
      </c>
      <c r="Z66" s="40">
        <v>30.26</v>
      </c>
      <c r="AA66" s="362">
        <v>31.08</v>
      </c>
      <c r="AB66" s="94">
        <v>572200</v>
      </c>
      <c r="AC66" s="242">
        <v>31.08</v>
      </c>
      <c r="AD66" s="2">
        <f t="shared" si="0"/>
        <v>0.81999999999999673</v>
      </c>
      <c r="AE66" s="137">
        <f t="shared" si="1"/>
        <v>2.3715415019762709E-2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42734</v>
      </c>
      <c r="X67" s="362">
        <v>30.42</v>
      </c>
      <c r="Y67" s="40">
        <v>30.48</v>
      </c>
      <c r="Z67" s="40">
        <v>30.21</v>
      </c>
      <c r="AA67" s="362">
        <v>30.36</v>
      </c>
      <c r="AB67" s="94">
        <v>304700</v>
      </c>
      <c r="AC67" s="242">
        <v>30.36</v>
      </c>
      <c r="AD67" s="2">
        <f t="shared" si="0"/>
        <v>0.26999999999999957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71" priority="31">
      <formula>F29&gt;0</formula>
    </cfRule>
    <cfRule type="expression" dxfId="1170" priority="32">
      <formula>F29&lt;0</formula>
    </cfRule>
  </conditionalFormatting>
  <conditionalFormatting sqref="F29 F31:F35">
    <cfRule type="expression" dxfId="1169" priority="33">
      <formula>F29&gt;0</formula>
    </cfRule>
    <cfRule type="expression" dxfId="1168" priority="34">
      <formula>F29&lt;0</formula>
    </cfRule>
  </conditionalFormatting>
  <conditionalFormatting sqref="H29 H31:H35">
    <cfRule type="expression" dxfId="1167" priority="29">
      <formula>H29&gt;0</formula>
    </cfRule>
    <cfRule type="expression" dxfId="1166" priority="30">
      <formula>H29&lt;0</formula>
    </cfRule>
  </conditionalFormatting>
  <conditionalFormatting sqref="F21:F28">
    <cfRule type="expression" dxfId="1165" priority="27">
      <formula>F21&gt;0</formula>
    </cfRule>
    <cfRule type="expression" dxfId="1164" priority="28">
      <formula>F21&lt;0</formula>
    </cfRule>
  </conditionalFormatting>
  <conditionalFormatting sqref="H21:H28">
    <cfRule type="expression" dxfId="1163" priority="25">
      <formula>H21&gt;0</formula>
    </cfRule>
    <cfRule type="expression" dxfId="1162" priority="26">
      <formula>H21&lt;0</formula>
    </cfRule>
  </conditionalFormatting>
  <conditionalFormatting sqref="Q8">
    <cfRule type="expression" dxfId="1161" priority="21">
      <formula>Q8&gt;0</formula>
    </cfRule>
    <cfRule type="expression" dxfId="1160" priority="22">
      <formula>Q8&lt;0</formula>
    </cfRule>
  </conditionalFormatting>
  <conditionalFormatting sqref="Q7">
    <cfRule type="expression" dxfId="1159" priority="23">
      <formula>Q7&gt;0</formula>
    </cfRule>
    <cfRule type="expression" dxfId="1158" priority="24">
      <formula>Q7&lt;0</formula>
    </cfRule>
  </conditionalFormatting>
  <conditionalFormatting sqref="F30">
    <cfRule type="expression" dxfId="1157" priority="19">
      <formula>F30&gt;0</formula>
    </cfRule>
    <cfRule type="expression" dxfId="1156" priority="20">
      <formula>F30&lt;0</formula>
    </cfRule>
  </conditionalFormatting>
  <conditionalFormatting sqref="H30">
    <cfRule type="expression" dxfId="1155" priority="17">
      <formula>H30&gt;0</formula>
    </cfRule>
    <cfRule type="expression" dxfId="1154" priority="18">
      <formula>H30&lt;0</formula>
    </cfRule>
  </conditionalFormatting>
  <conditionalFormatting sqref="F68 F70:F74">
    <cfRule type="expression" dxfId="1153" priority="13">
      <formula>F68&gt;0</formula>
    </cfRule>
    <cfRule type="expression" dxfId="1152" priority="14">
      <formula>F68&lt;0</formula>
    </cfRule>
  </conditionalFormatting>
  <conditionalFormatting sqref="F68 F70:F74">
    <cfRule type="expression" dxfId="1151" priority="15">
      <formula>F68&gt;0</formula>
    </cfRule>
    <cfRule type="expression" dxfId="1150" priority="16">
      <formula>F68&lt;0</formula>
    </cfRule>
  </conditionalFormatting>
  <conditionalFormatting sqref="H68 H70:H74">
    <cfRule type="expression" dxfId="1149" priority="11">
      <formula>H68&gt;0</formula>
    </cfRule>
    <cfRule type="expression" dxfId="1148" priority="12">
      <formula>H68&lt;0</formula>
    </cfRule>
  </conditionalFormatting>
  <conditionalFormatting sqref="F60:F67">
    <cfRule type="expression" dxfId="1147" priority="9">
      <formula>F60&gt;0</formula>
    </cfRule>
    <cfRule type="expression" dxfId="1146" priority="10">
      <formula>F60&lt;0</formula>
    </cfRule>
  </conditionalFormatting>
  <conditionalFormatting sqref="H60:H67">
    <cfRule type="expression" dxfId="1145" priority="7">
      <formula>H60&gt;0</formula>
    </cfRule>
    <cfRule type="expression" dxfId="1144" priority="8">
      <formula>H60&lt;0</formula>
    </cfRule>
  </conditionalFormatting>
  <conditionalFormatting sqref="F69">
    <cfRule type="expression" dxfId="1143" priority="5">
      <formula>F69&gt;0</formula>
    </cfRule>
    <cfRule type="expression" dxfId="1142" priority="6">
      <formula>F69&lt;0</formula>
    </cfRule>
  </conditionalFormatting>
  <conditionalFormatting sqref="H69">
    <cfRule type="expression" dxfId="1141" priority="3">
      <formula>H69&gt;0</formula>
    </cfRule>
    <cfRule type="expression" dxfId="1140" priority="4">
      <formula>H69&lt;0</formula>
    </cfRule>
  </conditionalFormatting>
  <conditionalFormatting sqref="Q10">
    <cfRule type="expression" dxfId="1139" priority="1">
      <formula>Q10&gt;0</formula>
    </cfRule>
    <cfRule type="expression" dxfId="113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7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30.66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7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30.66</v>
      </c>
      <c r="R4" s="499">
        <v>-2.3E-3</v>
      </c>
      <c r="T4" s="162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7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7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7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7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7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7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7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7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7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7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7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7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7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7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7">
        <f t="shared" si="1"/>
        <v>6.5573770491811345E-4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7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7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7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7">
        <f t="shared" si="1"/>
        <v>-5.6031641397494836E-3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7">
        <f t="shared" si="1"/>
        <v>-5.5719436250409871E-3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7">
        <f t="shared" si="1"/>
        <v>7.5957727873183778E-3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7">
        <f t="shared" si="1"/>
        <v>8.6608927381746081E-3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7">
        <f t="shared" si="1"/>
        <v>-6.9467416473701915E-3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7">
        <f t="shared" si="1"/>
        <v>1.6476126429051829E-2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7">
        <f t="shared" si="1"/>
        <v>-1.6859504132231473E-2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7">
        <f t="shared" si="1"/>
        <v>-5.9152152481104503E-3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7">
        <f t="shared" si="1"/>
        <v>8.9522546419098514E-3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7">
        <f t="shared" si="1"/>
        <v>-4.2918454935622075E-3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7">
        <f t="shared" si="1"/>
        <v>-2.6341784655911082E-3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7">
        <f t="shared" si="1"/>
        <v>6.6291017567119415E-3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7">
        <f t="shared" si="1"/>
        <v>-5.2753049785689843E-3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7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7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7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7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7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33.726000000000006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7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33.419400000000003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7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33.1128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7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32.806200000000004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7">
        <f t="shared" si="1"/>
        <v>-1.0573534123678341E-2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32.499600000000001</v>
      </c>
      <c r="Q45" s="2"/>
      <c r="T45" s="92" t="s">
        <v>100</v>
      </c>
      <c r="U45" s="129" t="s">
        <v>655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7">
        <f t="shared" si="1"/>
        <v>-1.9187719859289354E-3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32.193000000000005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7">
        <f t="shared" si="1"/>
        <v>-5.0906776964683154E-3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31.886400000000002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7">
        <f t="shared" si="1"/>
        <v>7.3717948717948456E-3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31.579800000000002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7">
        <f t="shared" si="1"/>
        <v>3.2061558191731621E-4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31.273199999999999</v>
      </c>
      <c r="Q49" s="2"/>
      <c r="T49" s="92" t="s">
        <v>122</v>
      </c>
      <c r="U49" s="129" t="s">
        <v>452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7">
        <f t="shared" si="1"/>
        <v>2.5715204114433732E-3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30.9666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7">
        <f t="shared" si="1"/>
        <v>9.4094743672938908E-3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30.66</v>
      </c>
      <c r="Q51" s="2"/>
      <c r="T51" s="92" t="s">
        <v>105</v>
      </c>
      <c r="U51" s="129" t="s">
        <v>656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7">
        <f t="shared" si="1"/>
        <v>2.3240371845949515E-2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30.353400000000001</v>
      </c>
      <c r="Q52" s="2"/>
      <c r="T52" s="92" t="s">
        <v>106</v>
      </c>
      <c r="U52" s="129" t="s">
        <v>593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7">
        <f t="shared" si="1"/>
        <v>6.6445182724250706E-4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30.046800000000001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7">
        <f t="shared" si="1"/>
        <v>9.3896713615024829E-3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29.740199999999998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7">
        <f t="shared" si="1"/>
        <v>-1.6739203213926857E-3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29.433599999999998</v>
      </c>
      <c r="T55" s="92" t="s">
        <v>108</v>
      </c>
      <c r="U55" s="129" t="s">
        <v>657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7">
        <f t="shared" si="1"/>
        <v>8.4402430790007088E-3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29.126999999999999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7">
        <f t="shared" si="1"/>
        <v>-1.5619807244931838E-2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28.820399999999999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7">
        <f t="shared" si="1"/>
        <v>1.1428571428571344E-2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28.513800000000003</v>
      </c>
      <c r="T58" s="92" t="s">
        <v>109</v>
      </c>
      <c r="U58" s="129" t="s">
        <v>594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7">
        <f t="shared" si="1"/>
        <v>-3.3500837520938909E-3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28.2072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7">
        <f t="shared" si="1"/>
        <v>7.4249071886602902E-3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27.900600000000001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7">
        <f t="shared" si="1"/>
        <v>-9.0301003344481767E-3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27.594000000000001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7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7">
        <f t="shared" si="1"/>
        <v>6.8259385665527805E-3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7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7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7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7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7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37" priority="11">
      <formula>F33&gt;0</formula>
    </cfRule>
    <cfRule type="expression" dxfId="1136" priority="12">
      <formula>F33&lt;0</formula>
    </cfRule>
  </conditionalFormatting>
  <conditionalFormatting sqref="Q7">
    <cfRule type="expression" dxfId="1135" priority="9">
      <formula>Q7&gt;0</formula>
    </cfRule>
    <cfRule type="expression" dxfId="1134" priority="10">
      <formula>Q7&lt;0</formula>
    </cfRule>
  </conditionalFormatting>
  <conditionalFormatting sqref="Q8">
    <cfRule type="expression" dxfId="1133" priority="7">
      <formula>Q8&gt;0</formula>
    </cfRule>
    <cfRule type="expression" dxfId="1132" priority="8">
      <formula>Q8&lt;0</formula>
    </cfRule>
  </conditionalFormatting>
  <conditionalFormatting sqref="F25:F32">
    <cfRule type="expression" dxfId="1131" priority="5">
      <formula>F25&gt;0</formula>
    </cfRule>
    <cfRule type="expression" dxfId="1130" priority="6">
      <formula>F25&lt;0</formula>
    </cfRule>
  </conditionalFormatting>
  <conditionalFormatting sqref="H25:H32">
    <cfRule type="expression" dxfId="1129" priority="3">
      <formula>H25&gt;0</formula>
    </cfRule>
    <cfRule type="expression" dxfId="1128" priority="4">
      <formula>H25&lt;0</formula>
    </cfRule>
  </conditionalFormatting>
  <conditionalFormatting sqref="Q10">
    <cfRule type="expression" dxfId="1127" priority="1">
      <formula>Q10&gt;0</formula>
    </cfRule>
    <cfRule type="expression" dxfId="112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 t="shared" ref="K2:K8" si="1">I2*H2-J2</f>
        <v>2197.4499999999998</v>
      </c>
      <c r="L2" s="73"/>
      <c r="M2" s="3"/>
      <c r="O2" s="11" t="s">
        <v>57</v>
      </c>
      <c r="Q2">
        <f>C18-H18</f>
        <v>300</v>
      </c>
      <c r="T2" s="1" t="s">
        <v>485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7">
        <f>AC2/AC3-1</f>
        <v>2.0822752666328048E-2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90">
        <f>IF(Q2=0, Q4, (F18-K18-M18)/Q2)</f>
        <v>19.12970000000001</v>
      </c>
      <c r="T3" s="598" t="s">
        <v>514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7">
        <f t="shared" ref="AE3:AE66" si="3">AC3/AC4-1</f>
        <v>-3.7163814180928956E-2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1">
        <v>21.19</v>
      </c>
      <c r="R4" s="499">
        <v>-6.3E-3</v>
      </c>
      <c r="T4" s="162" t="s">
        <v>515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7">
        <f t="shared" si="3"/>
        <v>3.2306915699141792E-2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6357</v>
      </c>
      <c r="T5" t="s">
        <v>516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7">
        <f t="shared" si="3"/>
        <v>8.6558044806517298E-3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5738.9100000000035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7">
        <f t="shared" si="3"/>
        <v>2.344971339239188E-2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4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963.06999999999698</v>
      </c>
      <c r="R7" s="30">
        <v>42849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7">
        <f t="shared" si="3"/>
        <v>2.3466666666666747E-2</v>
      </c>
    </row>
    <row r="8" spans="1:31" x14ac:dyDescent="0.25">
      <c r="B8" s="454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4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618.08999999999651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7">
        <f t="shared" si="3"/>
        <v>1.0237068965517349E-2</v>
      </c>
    </row>
    <row r="9" spans="1:31" x14ac:dyDescent="0.25">
      <c r="B9" s="454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0.10770163672195524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7">
        <f t="shared" si="3"/>
        <v>-9.0763481046450822E-3</v>
      </c>
    </row>
    <row r="10" spans="1:31" x14ac:dyDescent="0.25">
      <c r="B10" s="454">
        <v>42773</v>
      </c>
      <c r="C10" s="7">
        <v>100</v>
      </c>
      <c r="D10" s="44">
        <v>19.48</v>
      </c>
      <c r="E10" s="44">
        <v>0</v>
      </c>
      <c r="F10" s="44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7">
        <f t="shared" si="3"/>
        <v>-7.9449152542372392E-3</v>
      </c>
    </row>
    <row r="11" spans="1:31" x14ac:dyDescent="0.25">
      <c r="B11" s="498">
        <v>42816</v>
      </c>
      <c r="C11" s="4">
        <v>200</v>
      </c>
      <c r="D11" s="3">
        <v>18.8</v>
      </c>
      <c r="E11" s="3">
        <v>0</v>
      </c>
      <c r="F11" s="3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7">
        <f t="shared" si="3"/>
        <v>5.86041555673944E-3</v>
      </c>
    </row>
    <row r="12" spans="1:31" x14ac:dyDescent="0.25">
      <c r="B12" s="498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7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7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7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7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7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7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SUM(H2:H8)</f>
        <v>900</v>
      </c>
      <c r="I18" s="18"/>
      <c r="J18" s="18"/>
      <c r="K18" s="18">
        <f>SUM(K2:K8)</f>
        <v>18660.089999999997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7">
        <f t="shared" si="3"/>
        <v>3.6591740721381161E-3</v>
      </c>
    </row>
    <row r="19" spans="1:31" ht="15.75" thickBot="1" x14ac:dyDescent="0.3">
      <c r="A19" s="353" t="s">
        <v>197</v>
      </c>
      <c r="B19" s="354"/>
      <c r="C19" s="355">
        <f>SumByColor($A$19,C2:C17)</f>
        <v>900</v>
      </c>
      <c r="D19" s="355"/>
      <c r="E19" s="355"/>
      <c r="F19" s="356">
        <f>SumByColor($A$19,F2:F17)</f>
        <v>18671</v>
      </c>
      <c r="G19" s="355"/>
      <c r="H19" s="355">
        <f>SumByColor($A$19,H2:H17)</f>
        <v>900</v>
      </c>
      <c r="I19" s="355"/>
      <c r="J19" s="355"/>
      <c r="K19" s="356">
        <f>SumByColor($A$19,K2:K17)</f>
        <v>18660</v>
      </c>
      <c r="L19" s="355"/>
      <c r="M19" s="356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7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7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7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7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7">
        <f t="shared" si="3"/>
        <v>5.2521008403361158E-3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7">
        <f t="shared" si="3"/>
        <v>1.115241635687747E-2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30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7">
        <f t="shared" si="3"/>
        <v>-2.8379772961816374E-2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30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7">
        <f t="shared" si="3"/>
        <v>-3.5989717223650075E-3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30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7">
        <f t="shared" si="3"/>
        <v>5.1440329218088721E-4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30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7">
        <f t="shared" si="3"/>
        <v>-1.4698428788646689E-2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30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7">
        <f t="shared" si="3"/>
        <v>1.4395886889460252E-2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30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7">
        <f t="shared" si="3"/>
        <v>2.5773195876288568E-3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30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7">
        <f t="shared" si="3"/>
        <v>3.6213140196585947E-3</v>
      </c>
    </row>
    <row r="32" spans="1:31" x14ac:dyDescent="0.25">
      <c r="A32" t="s">
        <v>360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30">
        <f t="shared" si="6"/>
        <v>-2.4206047610653314E-2</v>
      </c>
      <c r="I32" s="40" t="s">
        <v>353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7">
        <f t="shared" si="3"/>
        <v>5.2002080083202173E-3</v>
      </c>
    </row>
    <row r="33" spans="1:31" x14ac:dyDescent="0.25">
      <c r="A33" t="s">
        <v>360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30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7">
        <f t="shared" si="3"/>
        <v>5.2029136316344982E-4</v>
      </c>
    </row>
    <row r="34" spans="1:31" x14ac:dyDescent="0.25">
      <c r="A34" t="s">
        <v>394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30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7">
        <f t="shared" si="3"/>
        <v>-9.2783505154638846E-3</v>
      </c>
    </row>
    <row r="35" spans="1:31" x14ac:dyDescent="0.25">
      <c r="A35" t="s">
        <v>405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30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7">
        <f t="shared" si="3"/>
        <v>2.9723991507430991E-2</v>
      </c>
    </row>
    <row r="36" spans="1:31" x14ac:dyDescent="0.25">
      <c r="A36" t="s">
        <v>414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30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7">
        <f t="shared" si="3"/>
        <v>-1.9771071800208095E-2</v>
      </c>
    </row>
    <row r="37" spans="1:31" x14ac:dyDescent="0.25">
      <c r="A37" t="s">
        <v>436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30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7">
        <f t="shared" si="3"/>
        <v>-5.2002080083213276E-4</v>
      </c>
    </row>
    <row r="38" spans="1:31" x14ac:dyDescent="0.25">
      <c r="A38" t="s">
        <v>360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30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7">
        <f t="shared" si="3"/>
        <v>-4.1853512705530616E-2</v>
      </c>
    </row>
    <row r="39" spans="1:31" x14ac:dyDescent="0.25">
      <c r="A39" t="s">
        <v>360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30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7">
        <f t="shared" si="3"/>
        <v>2.0335536349771255E-2</v>
      </c>
    </row>
    <row r="40" spans="1:31" ht="20.25" thickBot="1" x14ac:dyDescent="0.35">
      <c r="A40" t="s">
        <v>465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30">
        <f t="shared" si="6"/>
        <v>-5.4261849405223231E-2</v>
      </c>
      <c r="I40" s="40"/>
      <c r="J40" s="40"/>
      <c r="O40" s="703" t="s">
        <v>78</v>
      </c>
      <c r="P40" s="703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7">
        <f t="shared" si="3"/>
        <v>-3.0556924593395651E-2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30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23.309000000000005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7">
        <f t="shared" si="3"/>
        <v>3.4676185619581856E-2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30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23.097100000000005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7">
        <f t="shared" si="3"/>
        <v>-1.9500000000000073E-2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30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22.885200000000005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7">
        <f t="shared" si="3"/>
        <v>-5.9642147117296984E-3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30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22.673300000000001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7">
        <f t="shared" si="3"/>
        <v>-1.9493177387914118E-2</v>
      </c>
    </row>
    <row r="45" spans="1:31" x14ac:dyDescent="0.25">
      <c r="A45">
        <v>200</v>
      </c>
      <c r="B45" s="192">
        <v>42829</v>
      </c>
      <c r="C45" s="10">
        <v>500</v>
      </c>
      <c r="D45" s="199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30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22.461400000000001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7">
        <f t="shared" si="3"/>
        <v>-3.3898305084745672E-2</v>
      </c>
    </row>
    <row r="46" spans="1:31" x14ac:dyDescent="0.25">
      <c r="A46">
        <v>100</v>
      </c>
      <c r="B46" s="192">
        <v>42830</v>
      </c>
      <c r="C46" s="10">
        <v>400</v>
      </c>
      <c r="D46" s="199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30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22.249500000000001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7">
        <f t="shared" si="3"/>
        <v>-2.8169014084508115E-3</v>
      </c>
    </row>
    <row r="47" spans="1:31" x14ac:dyDescent="0.25">
      <c r="A47">
        <v>0</v>
      </c>
      <c r="B47" s="192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30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22.037600000000001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7">
        <f t="shared" si="3"/>
        <v>5.4455445544554504E-2</v>
      </c>
    </row>
    <row r="48" spans="1:31" x14ac:dyDescent="0.25">
      <c r="A48">
        <v>0</v>
      </c>
      <c r="B48" s="192">
        <v>42843</v>
      </c>
      <c r="C48" s="10">
        <v>300</v>
      </c>
      <c r="D48" s="199">
        <v>19.13</v>
      </c>
      <c r="E48" s="40">
        <v>21.19</v>
      </c>
      <c r="F48" s="40">
        <f t="shared" ref="F48" si="20">C48*(E48-D48)</f>
        <v>618.00000000000068</v>
      </c>
      <c r="G48" s="40">
        <f t="shared" ref="G48" si="21">D48*C48</f>
        <v>5739</v>
      </c>
      <c r="H48" s="230">
        <f t="shared" ref="H48" si="22">(E48-D48)/D48</f>
        <v>0.10768426555148992</v>
      </c>
      <c r="I48" s="40"/>
      <c r="J48" s="40">
        <v>963</v>
      </c>
      <c r="O48" s="82">
        <v>1.03</v>
      </c>
      <c r="P48" s="82">
        <f t="shared" si="13"/>
        <v>21.825700000000001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7">
        <f t="shared" si="3"/>
        <v>-1.8464528668610258E-2</v>
      </c>
    </row>
    <row r="49" spans="1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82">
        <v>1.02</v>
      </c>
      <c r="P49" s="82">
        <f t="shared" si="13"/>
        <v>21.613800000000001</v>
      </c>
      <c r="Q49" s="2"/>
      <c r="T49" s="92" t="s">
        <v>122</v>
      </c>
      <c r="U49" s="129" t="s">
        <v>561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7">
        <f t="shared" si="3"/>
        <v>-1.057692307692315E-2</v>
      </c>
    </row>
    <row r="50" spans="1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82">
        <v>1.01</v>
      </c>
      <c r="P50" s="82">
        <f t="shared" si="13"/>
        <v>21.401900000000001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7">
        <f t="shared" si="3"/>
        <v>-4.3082814743896636E-3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3"/>
        <v>21.19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7">
        <f t="shared" si="3"/>
        <v>7.232401157184265E-3</v>
      </c>
    </row>
    <row r="52" spans="1:31" x14ac:dyDescent="0.25">
      <c r="O52" s="82">
        <v>0.99</v>
      </c>
      <c r="P52" s="82">
        <f t="shared" si="13"/>
        <v>20.978100000000001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7">
        <f t="shared" si="3"/>
        <v>3.0815109343936165E-2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3"/>
        <v>20.766200000000001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7">
        <f t="shared" si="3"/>
        <v>-4.967709885741467E-4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3"/>
        <v>20.554300000000001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7">
        <f t="shared" si="3"/>
        <v>-6.4165844027641583E-3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3"/>
        <v>20.342400000000001</v>
      </c>
      <c r="T55" s="92" t="s">
        <v>108</v>
      </c>
      <c r="U55" s="129" t="s">
        <v>551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7">
        <f t="shared" si="3"/>
        <v>-9.7751710654936375E-3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3"/>
        <v>20.130500000000001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7">
        <f t="shared" si="3"/>
        <v>-1.2548262548262468E-2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3"/>
        <v>19.918600000000001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7">
        <f t="shared" si="3"/>
        <v>5.8252427184464217E-3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3"/>
        <v>19.706700000000001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7">
        <f t="shared" si="3"/>
        <v>-9.6993210475260216E-4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3"/>
        <v>19.494800000000001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7">
        <f t="shared" si="3"/>
        <v>1.5263417035942917E-2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3"/>
        <v>19.282900000000001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7">
        <f t="shared" si="3"/>
        <v>-1.3119533527696792E-2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3"/>
        <v>19.071000000000002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7">
        <f t="shared" si="3"/>
        <v>-2.0000000000000129E-2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7">
        <f t="shared" si="3"/>
        <v>0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7">
        <f t="shared" si="3"/>
        <v>-1.0833725859632604E-2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7">
        <f t="shared" si="3"/>
        <v>1.5789473684210575E-2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7">
        <f t="shared" si="3"/>
        <v>-2.8358902835890376E-2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7">
        <f t="shared" si="3"/>
        <v>2.0398481973434635E-2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524</v>
      </c>
      <c r="T67" s="598" t="s">
        <v>514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528</v>
      </c>
      <c r="T68" s="23" t="s">
        <v>527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529</v>
      </c>
      <c r="T69" s="23" t="s">
        <v>530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531</v>
      </c>
      <c r="T70" s="23" t="s">
        <v>532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535</v>
      </c>
      <c r="T73" s="23" t="s">
        <v>525</v>
      </c>
    </row>
    <row r="74" spans="1:31" x14ac:dyDescent="0.25">
      <c r="S74" t="s">
        <v>534</v>
      </c>
      <c r="T74" s="23" t="s">
        <v>526</v>
      </c>
    </row>
    <row r="75" spans="1:31" x14ac:dyDescent="0.25">
      <c r="S75" t="s">
        <v>533</v>
      </c>
      <c r="T75" s="23" t="s">
        <v>536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23">C83*(E83-D83)</f>
        <v>-67.999999999999829</v>
      </c>
      <c r="G83" s="379">
        <f t="shared" ref="G83:G92" si="24">D83*C83</f>
        <v>2110.4</v>
      </c>
      <c r="H83" s="380">
        <f t="shared" ref="H83:H92" si="25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23"/>
        <v>-65.999999999999659</v>
      </c>
      <c r="G84" s="379">
        <f t="shared" si="24"/>
        <v>3129.6</v>
      </c>
      <c r="H84" s="380">
        <f t="shared" si="25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23"/>
        <v>-9.5999999999997954</v>
      </c>
      <c r="G85" s="379">
        <f t="shared" si="24"/>
        <v>3129.6</v>
      </c>
      <c r="H85" s="380">
        <f t="shared" si="25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23"/>
        <v>61.200000000000188</v>
      </c>
      <c r="G86" s="379">
        <f t="shared" si="24"/>
        <v>3129.6</v>
      </c>
      <c r="H86" s="380">
        <f t="shared" si="25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23"/>
        <v>-61.199999999999477</v>
      </c>
      <c r="G87" s="379">
        <f t="shared" si="24"/>
        <v>5103.2</v>
      </c>
      <c r="H87" s="380">
        <f t="shared" si="25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23"/>
        <v>-37.199999999999989</v>
      </c>
      <c r="G88" s="379">
        <f t="shared" si="24"/>
        <v>5103.2</v>
      </c>
      <c r="H88" s="380">
        <f t="shared" si="25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23"/>
        <v>146.80000000000035</v>
      </c>
      <c r="G89" s="379">
        <f t="shared" si="24"/>
        <v>5103.2</v>
      </c>
      <c r="H89" s="380">
        <f t="shared" si="25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23"/>
        <v>180.80000000000069</v>
      </c>
      <c r="G90" s="379">
        <f t="shared" si="24"/>
        <v>5103.2</v>
      </c>
      <c r="H90" s="380">
        <f t="shared" si="25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23"/>
        <v>214.24000000000021</v>
      </c>
      <c r="G91" s="379">
        <f t="shared" si="24"/>
        <v>2454.7599999999998</v>
      </c>
      <c r="H91" s="380">
        <f t="shared" si="25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23"/>
        <v>270.63199999999995</v>
      </c>
      <c r="G92" s="379">
        <f t="shared" si="24"/>
        <v>1908.568</v>
      </c>
      <c r="H92" s="380">
        <f t="shared" si="25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1 F49:F51">
    <cfRule type="expression" dxfId="1125" priority="31">
      <formula>F31&gt;0</formula>
    </cfRule>
    <cfRule type="expression" dxfId="1124" priority="32">
      <formula>F31&lt;0</formula>
    </cfRule>
  </conditionalFormatting>
  <conditionalFormatting sqref="Q7">
    <cfRule type="expression" dxfId="1123" priority="29">
      <formula>Q7&gt;0</formula>
    </cfRule>
    <cfRule type="expression" dxfId="1122" priority="30">
      <formula>Q7&lt;0</formula>
    </cfRule>
  </conditionalFormatting>
  <conditionalFormatting sqref="Q8">
    <cfRule type="expression" dxfId="1121" priority="27">
      <formula>Q8&gt;0</formula>
    </cfRule>
    <cfRule type="expression" dxfId="1120" priority="28">
      <formula>Q8&lt;0</formula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119" priority="19">
      <formula>M53&gt;0</formula>
    </cfRule>
    <cfRule type="expression" dxfId="1118" priority="20">
      <formula>M53&lt;0</formula>
    </cfRule>
  </conditionalFormatting>
  <conditionalFormatting sqref="Q10">
    <cfRule type="expression" dxfId="1117" priority="17">
      <formula>Q10&gt;0</formula>
    </cfRule>
    <cfRule type="expression" dxfId="1116" priority="18">
      <formula>Q10&lt;0</formula>
    </cfRule>
  </conditionalFormatting>
  <conditionalFormatting sqref="F25:F30">
    <cfRule type="expression" dxfId="1115" priority="15">
      <formula>F25&gt;0</formula>
    </cfRule>
    <cfRule type="expression" dxfId="1114" priority="16">
      <formula>F25&lt;0</formula>
    </cfRule>
  </conditionalFormatting>
  <conditionalFormatting sqref="H25:H30">
    <cfRule type="expression" dxfId="1113" priority="13">
      <formula>H25&gt;0</formula>
    </cfRule>
    <cfRule type="expression" dxfId="1112" priority="14">
      <formula>H25&lt;0</formula>
    </cfRule>
  </conditionalFormatting>
  <conditionalFormatting sqref="F83:F94">
    <cfRule type="expression" dxfId="1111" priority="11">
      <formula>F83&gt;0</formula>
    </cfRule>
    <cfRule type="expression" dxfId="1110" priority="12">
      <formula>F83&lt;0</formula>
    </cfRule>
  </conditionalFormatting>
  <conditionalFormatting sqref="H83:H94">
    <cfRule type="expression" dxfId="1109" priority="9">
      <formula>H83&gt;0</formula>
    </cfRule>
    <cfRule type="expression" dxfId="1108" priority="10">
      <formula>H83&lt;0</formula>
    </cfRule>
  </conditionalFormatting>
  <conditionalFormatting sqref="J41">
    <cfRule type="expression" dxfId="1107" priority="7">
      <formula>J41&gt;0</formula>
    </cfRule>
    <cfRule type="expression" dxfId="1106" priority="8">
      <formula>J41&lt;0</formula>
    </cfRule>
  </conditionalFormatting>
  <conditionalFormatting sqref="J39:J47 J49">
    <cfRule type="expression" dxfId="1105" priority="5">
      <formula>J39&gt;0</formula>
    </cfRule>
    <cfRule type="expression" dxfId="1104" priority="6">
      <formula>J39&lt;0</formula>
    </cfRule>
  </conditionalFormatting>
  <conditionalFormatting sqref="F48 H48">
    <cfRule type="expression" dxfId="17" priority="3">
      <formula>F48&gt;0</formula>
    </cfRule>
    <cfRule type="expression" dxfId="16" priority="4">
      <formula>F48&lt;0</formula>
    </cfRule>
  </conditionalFormatting>
  <conditionalFormatting sqref="J48">
    <cfRule type="expression" dxfId="13" priority="1">
      <formula>J48&gt;0</formula>
    </cfRule>
    <cfRule type="expression" dxfId="12" priority="2">
      <formula>J48&lt;0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7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54.42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7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54.42</v>
      </c>
      <c r="R4" s="499">
        <v>-5.4999999999999997E-3</v>
      </c>
      <c r="T4" s="162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7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7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7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7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7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7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7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7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7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7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7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7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7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7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7">
        <f t="shared" si="1"/>
        <v>-2.9546705817581231E-2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7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7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7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7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7">
        <f t="shared" si="1"/>
        <v>-1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7">
        <f t="shared" si="1"/>
        <v>-2.2123893805309658E-2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7">
        <f t="shared" si="1"/>
        <v>2.2446493822864122E-2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7">
        <f t="shared" si="1"/>
        <v>-2.2286492004083058E-2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7">
        <f t="shared" si="1"/>
        <v>1.8717504332755652E-2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7">
        <f t="shared" si="1"/>
        <v>-1.0800617178124416E-2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7">
        <f t="shared" si="1"/>
        <v>-1.8822724161533522E-3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7">
        <f t="shared" si="1"/>
        <v>2.2393282015395366E-2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7">
        <f t="shared" si="1"/>
        <v>-1.1243729458571328E-2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7">
        <f t="shared" si="1"/>
        <v>8.6565096952906373E-4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7">
        <f t="shared" si="1"/>
        <v>9.4372596994058977E-3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7">
        <f t="shared" si="1"/>
        <v>1.7425320056899007E-2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7">
        <f t="shared" si="1"/>
        <v>-1.661129568106301E-2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7">
        <f t="shared" si="1"/>
        <v>3.5863068284730959E-2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7">
        <f t="shared" si="1"/>
        <v>-7.5498831565702362E-3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7">
        <f t="shared" si="1"/>
        <v>1.8677897820911893E-2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7">
        <f t="shared" si="1"/>
        <v>3.3069998162778003E-3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59.862000000000009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7">
        <f t="shared" si="1"/>
        <v>3.028582244936584E-2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59.317800000000005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7">
        <f t="shared" si="1"/>
        <v>-2.2662889518414442E-3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58.773600000000009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7">
        <f t="shared" si="1"/>
        <v>-5.6625141562838266E-4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58.229400000000005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7">
        <f t="shared" si="1"/>
        <v>3.5991665088084268E-3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57.685200000000002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7">
        <f t="shared" si="1"/>
        <v>3.7900322152739641E-4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57.141000000000005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7">
        <f t="shared" si="1"/>
        <v>2.469604863222008E-3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56.596800000000002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7">
        <f t="shared" si="1"/>
        <v>8.0428954423592547E-3</v>
      </c>
    </row>
    <row r="48" spans="2:31" x14ac:dyDescent="0.25">
      <c r="O48" s="82">
        <v>1.03</v>
      </c>
      <c r="P48" s="82">
        <f t="shared" si="6"/>
        <v>56.052600000000005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7">
        <f t="shared" si="1"/>
        <v>-7.6540375047839948E-4</v>
      </c>
    </row>
    <row r="49" spans="1:31" x14ac:dyDescent="0.25">
      <c r="O49" s="82">
        <v>1.02</v>
      </c>
      <c r="P49" s="82">
        <f t="shared" si="6"/>
        <v>55.508400000000002</v>
      </c>
      <c r="Q49" s="2"/>
      <c r="T49" s="92" t="s">
        <v>104</v>
      </c>
      <c r="U49" s="129" t="s">
        <v>396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7">
        <f t="shared" si="1"/>
        <v>-6.6527276183235839E-3</v>
      </c>
    </row>
    <row r="50" spans="1:31" x14ac:dyDescent="0.25">
      <c r="O50" s="82">
        <v>1.01</v>
      </c>
      <c r="P50" s="82">
        <f t="shared" si="6"/>
        <v>54.964200000000005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7">
        <f t="shared" si="1"/>
        <v>-2.2663942039754748E-2</v>
      </c>
    </row>
    <row r="51" spans="1:31" x14ac:dyDescent="0.25">
      <c r="O51" s="82">
        <v>1</v>
      </c>
      <c r="P51" s="82">
        <f t="shared" si="6"/>
        <v>54.42</v>
      </c>
      <c r="Q51" s="2"/>
      <c r="T51" s="92" t="s">
        <v>105</v>
      </c>
      <c r="U51" s="129" t="s">
        <v>658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7">
        <f t="shared" si="1"/>
        <v>9.0338262102491518E-2</v>
      </c>
    </row>
    <row r="52" spans="1:31" x14ac:dyDescent="0.25">
      <c r="O52" s="82">
        <v>0.99</v>
      </c>
      <c r="P52" s="82">
        <f t="shared" si="6"/>
        <v>53.875799999999998</v>
      </c>
      <c r="Q52" s="2"/>
      <c r="T52" s="92" t="s">
        <v>106</v>
      </c>
      <c r="U52" s="129" t="s">
        <v>505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7">
        <f t="shared" si="1"/>
        <v>-3.8337368845844377E-3</v>
      </c>
    </row>
    <row r="53" spans="1:31" x14ac:dyDescent="0.25">
      <c r="O53" s="82">
        <v>0.98</v>
      </c>
      <c r="P53" s="82">
        <f t="shared" si="6"/>
        <v>53.331600000000002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7">
        <f t="shared" si="1"/>
        <v>-5.8174523570712067E-3</v>
      </c>
    </row>
    <row r="54" spans="1:31" x14ac:dyDescent="0.25">
      <c r="O54" s="82">
        <v>0.97</v>
      </c>
      <c r="P54" s="82">
        <f t="shared" si="6"/>
        <v>52.787399999999998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7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52.243200000000002</v>
      </c>
      <c r="T55" s="92" t="s">
        <v>108</v>
      </c>
      <c r="U55" s="129" t="s">
        <v>659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7">
        <f t="shared" si="1"/>
        <v>2.0408163265306145E-2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51.698999999999998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7">
        <f t="shared" si="1"/>
        <v>-6.1642473652814278E-3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51.154800000000002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7">
        <f t="shared" si="1"/>
        <v>2.7916251246260515E-3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50.610600000000005</v>
      </c>
      <c r="T58" s="92" t="s">
        <v>109</v>
      </c>
      <c r="U58" s="129" t="s">
        <v>595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7">
        <f t="shared" si="1"/>
        <v>-1.7822169996083104E-2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50.066400000000002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7">
        <f t="shared" si="1"/>
        <v>2.74941084053415E-3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49.522200000000005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7">
        <f t="shared" si="1"/>
        <v>-1.2987012987012991E-2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48.978000000000002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7">
        <f t="shared" si="1"/>
        <v>6.6341463414634205E-3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7">
        <f t="shared" si="1"/>
        <v>2.0713005377414939E-2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7">
        <f t="shared" si="1"/>
        <v>7.4237560192615959E-3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7">
        <f t="shared" si="1"/>
        <v>-1.0718539102818614E-2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7">
        <f t="shared" si="1"/>
        <v>-1.6207771919546921E-2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7">
        <f t="shared" si="1"/>
        <v>2.6458208057726917E-2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03" priority="15">
      <formula>F39&gt;0</formula>
    </cfRule>
    <cfRule type="expression" dxfId="1102" priority="16">
      <formula>F39&lt;0</formula>
    </cfRule>
  </conditionalFormatting>
  <conditionalFormatting sqref="Q7">
    <cfRule type="expression" dxfId="1101" priority="13">
      <formula>Q7&gt;0</formula>
    </cfRule>
    <cfRule type="expression" dxfId="1100" priority="14">
      <formula>Q7&lt;0</formula>
    </cfRule>
  </conditionalFormatting>
  <conditionalFormatting sqref="Q8">
    <cfRule type="expression" dxfId="1099" priority="11">
      <formula>Q8&gt;0</formula>
    </cfRule>
    <cfRule type="expression" dxfId="1098" priority="12">
      <formula>Q8&lt;0</formula>
    </cfRule>
  </conditionalFormatting>
  <conditionalFormatting sqref="F25:F38">
    <cfRule type="expression" dxfId="1097" priority="9">
      <formula>F25&gt;0</formula>
    </cfRule>
    <cfRule type="expression" dxfId="1096" priority="10">
      <formula>F25&lt;0</formula>
    </cfRule>
  </conditionalFormatting>
  <conditionalFormatting sqref="H25:H38">
    <cfRule type="expression" dxfId="1095" priority="7">
      <formula>H25&gt;0</formula>
    </cfRule>
    <cfRule type="expression" dxfId="109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93" priority="3">
      <formula>M55&gt;0</formula>
    </cfRule>
    <cfRule type="expression" dxfId="1092" priority="4">
      <formula>M55&lt;0</formula>
    </cfRule>
  </conditionalFormatting>
  <conditionalFormatting sqref="Q10">
    <cfRule type="expression" dxfId="1091" priority="1">
      <formula>Q10&gt;0</formula>
    </cfRule>
    <cfRule type="expression" dxfId="109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1">
        <f>AC2/AC3-1</f>
        <v>-5.3064473335101559E-3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38.11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1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38.11</v>
      </c>
      <c r="R4" s="499">
        <v>1.17E-2</v>
      </c>
      <c r="T4" s="162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1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1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1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1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1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1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1">
        <f t="shared" si="1"/>
        <v>7.754010695187219E-3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1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1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1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1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1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1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1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1">
        <f t="shared" si="1"/>
        <v>-8.3916083916083517E-3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1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1">
        <f t="shared" si="1"/>
        <v>9.0497737556560764E-3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1">
        <f t="shared" si="1"/>
        <v>-3.3821871476887866E-3</v>
      </c>
    </row>
    <row r="22" spans="1:31" x14ac:dyDescent="0.25">
      <c r="A22" t="s">
        <v>370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1">
        <f t="shared" si="1"/>
        <v>2.543091268719877E-3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1">
        <f t="shared" si="1"/>
        <v>1.287922152261034E-2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1">
        <f t="shared" si="1"/>
        <v>-5.4084827782523437E-3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1">
        <f t="shared" si="1"/>
        <v>1.5317919075144459E-2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1">
        <f t="shared" si="1"/>
        <v>3.1893302406493795E-3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1">
        <f t="shared" si="1"/>
        <v>-5.7653502450272232E-3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1">
        <f t="shared" si="1"/>
        <v>-8.8571428571428967E-3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1">
        <f t="shared" si="1"/>
        <v>1.4306151645206988E-3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1">
        <f t="shared" si="1"/>
        <v>-1.8258426966292096E-2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1">
        <f t="shared" si="1"/>
        <v>2.8097780275349038E-4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1">
        <f t="shared" si="1"/>
        <v>5.6513139304890103E-3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1">
        <f t="shared" si="1"/>
        <v>-2.8248587570611772E-4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1">
        <f t="shared" si="1"/>
        <v>-1.4104372355431272E-3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1">
        <f t="shared" si="1"/>
        <v>-2.8200789622101485E-4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1">
        <f t="shared" si="1"/>
        <v>1.0544314619549633E-2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1">
        <f t="shared" si="1"/>
        <v>-3.1249999999999334E-3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1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1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1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41.920999999999999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1">
        <f t="shared" si="1"/>
        <v>9.0574582507783052E-3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41.539900000000003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1">
        <f t="shared" si="1"/>
        <v>5.9794988610477606E-3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41.158799999999999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1">
        <f t="shared" si="1"/>
        <v>8.3261556129772263E-3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40.777700000000003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1">
        <f t="shared" si="1"/>
        <v>-3.4334763948499214E-3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40.396599999999999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1">
        <f t="shared" si="1"/>
        <v>6.044905008635526E-3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40.015500000000003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1">
        <f t="shared" si="1"/>
        <v>6.0816681146829144E-3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39.634399999999999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1">
        <f t="shared" si="1"/>
        <v>1.1719894520949348E-2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39.253300000000003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1">
        <f t="shared" si="1"/>
        <v>-5.8258083309057351E-3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38.872199999999999</v>
      </c>
      <c r="Q49" s="2"/>
      <c r="T49" s="92" t="s">
        <v>104</v>
      </c>
      <c r="U49" s="129" t="s">
        <v>660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1">
        <f t="shared" si="1"/>
        <v>-2.9044437990125571E-3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38.491100000000003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1">
        <f t="shared" si="1"/>
        <v>-1.0916403332375868E-2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38.11</v>
      </c>
      <c r="Q51" s="2"/>
      <c r="T51" s="92" t="s">
        <v>105</v>
      </c>
      <c r="U51" s="129" t="s">
        <v>661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1">
        <f t="shared" si="1"/>
        <v>7.5253256150507042E-3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37.728899999999996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1">
        <f t="shared" si="1"/>
        <v>8.7591240875910525E-3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37.347799999999999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1">
        <f t="shared" si="1"/>
        <v>6.4648839259475732E-3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36.966699999999996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1">
        <f t="shared" si="1"/>
        <v>5.0206733608979537E-3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36.585599999999999</v>
      </c>
      <c r="T55" s="92" t="s">
        <v>108</v>
      </c>
      <c r="U55" s="129" t="s">
        <v>662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1">
        <f t="shared" si="1"/>
        <v>2.668283808368721E-2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36.204499999999996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1">
        <f t="shared" si="1"/>
        <v>2.3905619372865505E-2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35.823399999999999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1">
        <f t="shared" si="1"/>
        <v>1.8662519440124647E-3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35.442300000000003</v>
      </c>
      <c r="T58" s="92" t="s">
        <v>109</v>
      </c>
      <c r="U58" s="129" t="s">
        <v>562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1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35.061199999999999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1">
        <f t="shared" si="1"/>
        <v>-7.9999999999998961E-3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34.680100000000003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1">
        <f t="shared" si="1"/>
        <v>3.1746031746031855E-2</v>
      </c>
    </row>
    <row r="61" spans="1:31" x14ac:dyDescent="0.25">
      <c r="O61" s="82">
        <v>0.9</v>
      </c>
      <c r="P61" s="82">
        <f t="shared" si="2"/>
        <v>34.298999999999999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1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1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1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1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1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1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1" t="e">
        <f>AC67/#REF!-1</f>
        <v>#REF!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1" t="e">
        <f>#REF!/AC68-1</f>
        <v>#REF!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AD69" s="40">
        <f>Y68-Z68</f>
        <v>0</v>
      </c>
      <c r="AE69" s="161" t="e">
        <f>AC68/AC69-1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89" priority="27">
      <formula>F27&gt;0</formula>
    </cfRule>
    <cfRule type="expression" dxfId="108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87" priority="15">
      <formula>Q8&gt;0</formula>
    </cfRule>
    <cfRule type="expression" dxfId="1086" priority="16">
      <formula>Q8&lt;0</formula>
    </cfRule>
  </conditionalFormatting>
  <conditionalFormatting sqref="Q7">
    <cfRule type="expression" dxfId="1085" priority="17">
      <formula>Q7&gt;0</formula>
    </cfRule>
    <cfRule type="expression" dxfId="1084" priority="18">
      <formula>Q7&lt;0</formula>
    </cfRule>
  </conditionalFormatting>
  <conditionalFormatting sqref="F37:F38">
    <cfRule type="expression" dxfId="1083" priority="13">
      <formula>F37&gt;0</formula>
    </cfRule>
    <cfRule type="expression" dxfId="1082" priority="14">
      <formula>F37&lt;0</formula>
    </cfRule>
  </conditionalFormatting>
  <conditionalFormatting sqref="H37:H38">
    <cfRule type="expression" dxfId="1081" priority="11">
      <formula>H37&gt;0</formula>
    </cfRule>
    <cfRule type="expression" dxfId="1080" priority="12">
      <formula>H37&lt;0</formula>
    </cfRule>
  </conditionalFormatting>
  <conditionalFormatting sqref="F23:F26 H23:H26">
    <cfRule type="expression" dxfId="1079" priority="9">
      <formula>F23&gt;0</formula>
    </cfRule>
    <cfRule type="expression" dxfId="1078" priority="10">
      <formula>F23&lt;0</formula>
    </cfRule>
  </conditionalFormatting>
  <conditionalFormatting sqref="Q10">
    <cfRule type="expression" dxfId="1077" priority="3">
      <formula>Q10&gt;0</formula>
    </cfRule>
    <cfRule type="expression" dxfId="1076" priority="4">
      <formula>Q10&lt;0</formula>
    </cfRule>
  </conditionalFormatting>
  <conditionalFormatting sqref="F22 H22">
    <cfRule type="expression" dxfId="1075" priority="1">
      <formula>F22&gt;0</formula>
    </cfRule>
    <cfRule type="expression" dxfId="1074" priority="2">
      <formula>F22&lt;0</formula>
    </cfRule>
  </conditionalFormatting>
  <conditionalFormatting sqref="M41">
    <cfRule type="expression" dxfId="1073" priority="5">
      <formula>M41&gt;0</formula>
    </cfRule>
    <cfRule type="expression" dxfId="107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52.93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52.93</v>
      </c>
      <c r="R4" s="499">
        <v>-4.0000000000000002E-4</v>
      </c>
      <c r="T4" s="162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7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7">
        <f t="shared" si="1"/>
        <v>-3.1487312465271478E-3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7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7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7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7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7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7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7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7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7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7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7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7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7">
        <f t="shared" si="1"/>
        <v>1.6879886282871182E-2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7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7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7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7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7">
        <f t="shared" si="1"/>
        <v>1.4127324749642289E-2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7">
        <f t="shared" si="1"/>
        <v>-1.1315417256011373E-2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7">
        <f t="shared" si="1"/>
        <v>-5.1011433597185629E-3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7">
        <f t="shared" si="1"/>
        <v>7.0859167404782042E-3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7">
        <f t="shared" si="1"/>
        <v>-5.6367799894310178E-3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7">
        <f t="shared" si="1"/>
        <v>8.3481349911191938E-3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7">
        <f t="shared" si="1"/>
        <v>2.6714158504006491E-3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7">
        <f t="shared" si="1"/>
        <v>2.1417097983222888E-3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7">
        <f t="shared" si="1"/>
        <v>1.1919812172656696E-2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7">
        <f t="shared" si="1"/>
        <v>7.6433121019108263E-3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7">
        <f t="shared" si="1"/>
        <v>1.0296010296010349E-2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7">
        <f t="shared" si="1"/>
        <v>3.5055350553505615E-3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7">
        <f t="shared" si="1"/>
        <v>5.7524587121915438E-3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7">
        <f t="shared" si="1"/>
        <v>-1.3545670876807692E-2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7">
        <f t="shared" si="1"/>
        <v>2.4568642160540222E-2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7">
        <f t="shared" si="1"/>
        <v>3.2133178474641921E-2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7">
        <f t="shared" si="1"/>
        <v>7.4102964118563097E-3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7">
        <f t="shared" si="1"/>
        <v>2.7375831052014465E-3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58.223000000000006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7">
        <f t="shared" si="1"/>
        <v>-9.4906062366841848E-3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57.693700000000007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7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57.164400000000001</v>
      </c>
      <c r="Q43" s="2"/>
      <c r="T43" s="127" t="s">
        <v>98</v>
      </c>
      <c r="U43" s="128">
        <v>53.75</v>
      </c>
      <c r="V43" s="537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7">
        <f t="shared" si="1"/>
        <v>1.2236037102822062E-2</v>
      </c>
    </row>
    <row r="44" spans="1:31" x14ac:dyDescent="0.25">
      <c r="O44" s="82">
        <v>1.07</v>
      </c>
      <c r="P44" s="82">
        <f t="shared" si="2"/>
        <v>56.635100000000001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7">
        <f t="shared" si="1"/>
        <v>5.1577068042056862E-3</v>
      </c>
    </row>
    <row r="45" spans="1:31" x14ac:dyDescent="0.25">
      <c r="O45" s="82">
        <v>1.06</v>
      </c>
      <c r="P45" s="82">
        <f t="shared" si="2"/>
        <v>56.105800000000002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7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55.576500000000003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7">
        <f t="shared" si="1"/>
        <v>2.4729204986715825E-2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55.047200000000004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7">
        <f t="shared" si="1"/>
        <v>2.4585125998770607E-3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54.517900000000004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7">
        <f t="shared" si="1"/>
        <v>9.722796855606175E-3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53.988599999999998</v>
      </c>
      <c r="Q49" s="2"/>
      <c r="T49" s="92" t="s">
        <v>104</v>
      </c>
      <c r="U49" s="129" t="s">
        <v>519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7">
        <f t="shared" si="1"/>
        <v>1.9831223628692163E-2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53.459299999999999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7">
        <f t="shared" si="1"/>
        <v>1.9793459552495785E-2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52.93</v>
      </c>
      <c r="Q51" s="2"/>
      <c r="T51" s="92" t="s">
        <v>105</v>
      </c>
      <c r="U51" s="129" t="s">
        <v>663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7">
        <f t="shared" si="1"/>
        <v>-5.5092498475299845E-2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52.400700000000001</v>
      </c>
      <c r="Q52" s="2"/>
      <c r="T52" s="92" t="s">
        <v>106</v>
      </c>
      <c r="U52" s="129" t="s">
        <v>390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7">
        <f t="shared" si="1"/>
        <v>1.1931701296029606E-2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51.871400000000001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7">
        <f t="shared" si="1"/>
        <v>-2.0749395648670399E-2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51.342099999999995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7">
        <f t="shared" si="1"/>
        <v>1.5548281505728179E-2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50.812799999999996</v>
      </c>
      <c r="T55" s="92" t="s">
        <v>108</v>
      </c>
      <c r="U55" s="129" t="s">
        <v>664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7">
        <f t="shared" si="1"/>
        <v>-0.1127246324196769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50.283499999999997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7">
        <f t="shared" si="1"/>
        <v>-1.0418537812106998E-2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49.754199999999997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7">
        <f t="shared" si="1"/>
        <v>-3.5797386790763497E-3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49.224900000000005</v>
      </c>
      <c r="T58" s="92" t="s">
        <v>109</v>
      </c>
      <c r="U58" s="129" t="s">
        <v>603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7">
        <f t="shared" si="1"/>
        <v>8.9573629523465037E-4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48.695599999999999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7">
        <f t="shared" si="1"/>
        <v>-5.7000356252226991E-3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48.1663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7">
        <f t="shared" si="1"/>
        <v>-4.4334101791098091E-3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47.637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7">
        <f t="shared" si="1"/>
        <v>-5.3064651553316522E-2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7">
        <f t="shared" si="1"/>
        <v>4.2158516020236458E-3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7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7">
        <f t="shared" si="1"/>
        <v>-3.0150753768843908E-3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7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7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7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7" t="e">
        <f>AC71/AC72-1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6" t="s">
        <v>356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  <c r="W71" s="132"/>
      <c r="X71" s="10"/>
      <c r="Y71" s="10"/>
      <c r="Z71" s="10"/>
      <c r="AA71" s="10"/>
      <c r="AB71" s="94"/>
      <c r="AC71" s="10"/>
    </row>
    <row r="72" spans="1:31" x14ac:dyDescent="0.25">
      <c r="A72" s="476" t="s">
        <v>369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387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387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413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450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1" t="s">
        <v>468</v>
      </c>
      <c r="B77" s="660">
        <v>42787</v>
      </c>
      <c r="C77" s="661">
        <v>20</v>
      </c>
      <c r="D77" s="662">
        <v>47.1</v>
      </c>
      <c r="E77" s="659">
        <v>54.78</v>
      </c>
      <c r="F77" s="659">
        <f t="shared" si="4"/>
        <v>153.6</v>
      </c>
      <c r="G77" s="659">
        <f t="shared" si="5"/>
        <v>942</v>
      </c>
      <c r="H77" s="663">
        <f t="shared" si="6"/>
        <v>0.16305732484076432</v>
      </c>
      <c r="I77" s="659"/>
    </row>
    <row r="78" spans="1:31" x14ac:dyDescent="0.25">
      <c r="A78" s="661" t="s">
        <v>486</v>
      </c>
      <c r="B78" s="660">
        <v>42792</v>
      </c>
      <c r="C78" s="661">
        <v>20</v>
      </c>
      <c r="D78" s="662">
        <v>47.1</v>
      </c>
      <c r="E78" s="659">
        <v>54.78</v>
      </c>
      <c r="F78" s="659">
        <f t="shared" si="4"/>
        <v>153.6</v>
      </c>
      <c r="G78" s="659">
        <f t="shared" si="5"/>
        <v>942</v>
      </c>
      <c r="H78" s="663">
        <f t="shared" si="6"/>
        <v>0.16305732484076432</v>
      </c>
      <c r="I78" s="659"/>
    </row>
    <row r="79" spans="1:31" x14ac:dyDescent="0.25">
      <c r="A79" s="661"/>
      <c r="B79" s="660">
        <v>42796</v>
      </c>
      <c r="C79" s="661">
        <v>0</v>
      </c>
      <c r="D79" s="662"/>
      <c r="E79" s="659"/>
      <c r="F79" s="659">
        <v>203.98</v>
      </c>
      <c r="G79" s="659"/>
      <c r="H79" s="663"/>
      <c r="I79" s="664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71" priority="29">
      <formula>F25&gt;0</formula>
    </cfRule>
    <cfRule type="expression" dxfId="1070" priority="30">
      <formula>F25&lt;0</formula>
    </cfRule>
  </conditionalFormatting>
  <conditionalFormatting sqref="Q7">
    <cfRule type="expression" dxfId="1069" priority="27">
      <formula>Q7&gt;0</formula>
    </cfRule>
    <cfRule type="expression" dxfId="1068" priority="28">
      <formula>Q7&lt;0</formula>
    </cfRule>
  </conditionalFormatting>
  <conditionalFormatting sqref="Q8">
    <cfRule type="expression" dxfId="1067" priority="25">
      <formula>Q8&gt;0</formula>
    </cfRule>
    <cfRule type="expression" dxfId="1066" priority="26">
      <formula>Q8&lt;0</formula>
    </cfRule>
  </conditionalFormatting>
  <conditionalFormatting sqref="Q10">
    <cfRule type="expression" dxfId="1065" priority="13">
      <formula>Q10&gt;0</formula>
    </cfRule>
    <cfRule type="expression" dxfId="1064" priority="14">
      <formula>Q10&lt;0</formula>
    </cfRule>
  </conditionalFormatting>
  <conditionalFormatting sqref="M46">
    <cfRule type="expression" dxfId="1063" priority="11">
      <formula>M46&gt;0</formula>
    </cfRule>
    <cfRule type="expression" dxfId="1062" priority="12">
      <formula>M46&lt;0</formula>
    </cfRule>
  </conditionalFormatting>
  <conditionalFormatting sqref="F80:F88 H80:H88">
    <cfRule type="expression" dxfId="1061" priority="9">
      <formula>F80&gt;0</formula>
    </cfRule>
    <cfRule type="expression" dxfId="1060" priority="10">
      <formula>F80&lt;0</formula>
    </cfRule>
  </conditionalFormatting>
  <conditionalFormatting sqref="F75:F79">
    <cfRule type="expression" dxfId="1059" priority="7">
      <formula>F75&gt;0</formula>
    </cfRule>
    <cfRule type="expression" dxfId="1058" priority="8">
      <formula>F75&lt;0</formula>
    </cfRule>
  </conditionalFormatting>
  <conditionalFormatting sqref="H75:H79">
    <cfRule type="expression" dxfId="1057" priority="5">
      <formula>H75&gt;0</formula>
    </cfRule>
    <cfRule type="expression" dxfId="1056" priority="6">
      <formula>H75&lt;0</formula>
    </cfRule>
  </conditionalFormatting>
  <conditionalFormatting sqref="F71:F74">
    <cfRule type="expression" dxfId="1055" priority="3">
      <formula>F71&gt;0</formula>
    </cfRule>
    <cfRule type="expression" dxfId="1054" priority="4">
      <formula>F71&lt;0</formula>
    </cfRule>
  </conditionalFormatting>
  <conditionalFormatting sqref="H71:H74">
    <cfRule type="expression" dxfId="1053" priority="1">
      <formula>H71&gt;0</formula>
    </cfRule>
    <cfRule type="expression" dxfId="105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7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58.95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7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58.95</v>
      </c>
      <c r="R4" s="499">
        <v>2.2000000000000001E-3</v>
      </c>
      <c r="T4" s="162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7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7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7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7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7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7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7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7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7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7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7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7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7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7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7">
        <f t="shared" si="1"/>
        <v>-1.4862981885740867E-2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7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7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7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7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7">
        <f t="shared" si="1"/>
        <v>3.8058991436726863E-3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7">
        <f t="shared" si="1"/>
        <v>-4.7348484848483974E-3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7">
        <f t="shared" si="1"/>
        <v>-6.740868474682582E-3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7">
        <f t="shared" si="1"/>
        <v>6.4689176396339754E-3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7">
        <f t="shared" si="1"/>
        <v>1.2460063897763662E-2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7">
        <f t="shared" si="1"/>
        <v>-4.136175628380534E-3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7">
        <f t="shared" si="1"/>
        <v>-1.5905837442342641E-4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7">
        <f t="shared" si="1"/>
        <v>2.7113237639553311E-3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7">
        <f t="shared" si="1"/>
        <v>-4.9198539914298012E-3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7">
        <f t="shared" si="1"/>
        <v>5.9067688378033889E-3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7">
        <f t="shared" si="1"/>
        <v>4.8123195380171957E-3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7">
        <f t="shared" si="1"/>
        <v>-2.9576587795765774E-2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7">
        <f t="shared" si="1"/>
        <v>5.3208137715179404E-3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7">
        <f t="shared" si="1"/>
        <v>5.5074744295831035E-3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7">
        <f t="shared" si="1"/>
        <v>-7.8616352201266171E-4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7">
        <f t="shared" si="1"/>
        <v>-5.4730258014074051E-3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7">
        <f t="shared" si="1"/>
        <v>1.566170712607784E-3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7">
        <f t="shared" si="1"/>
        <v>4.7206923682141522E-3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64.845000000000013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7">
        <f t="shared" si="1"/>
        <v>-0.1064398200224973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64.255500000000012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7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63.666000000000004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7">
        <f t="shared" si="1"/>
        <v>2.3005032350826848E-3</v>
      </c>
    </row>
    <row r="44" spans="1:31" x14ac:dyDescent="0.25">
      <c r="O44" s="82">
        <v>1.07</v>
      </c>
      <c r="P44" s="82">
        <f t="shared" si="5"/>
        <v>63.07650000000001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7">
        <f t="shared" si="1"/>
        <v>2.161383285302465E-3</v>
      </c>
    </row>
    <row r="45" spans="1:31" x14ac:dyDescent="0.25">
      <c r="O45" s="82">
        <v>1.06</v>
      </c>
      <c r="P45" s="82">
        <f t="shared" si="5"/>
        <v>62.487000000000009</v>
      </c>
      <c r="Q45" s="2"/>
      <c r="T45" s="92" t="s">
        <v>100</v>
      </c>
      <c r="U45" s="129" t="s">
        <v>665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7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61.897500000000008</v>
      </c>
      <c r="Q46" s="2"/>
      <c r="T46" s="92" t="s">
        <v>101</v>
      </c>
      <c r="U46" s="129" t="s">
        <v>666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7">
        <f t="shared" si="1"/>
        <v>1.6037323224959987E-3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61.308000000000007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7">
        <f t="shared" si="1"/>
        <v>1.150272821117837E-2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60.718500000000006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7">
        <f t="shared" si="1"/>
        <v>-2.3539796969250792E-3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60.129000000000005</v>
      </c>
      <c r="Q49" s="2"/>
      <c r="T49" s="92" t="s">
        <v>122</v>
      </c>
      <c r="U49" s="129" t="s">
        <v>415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7">
        <f t="shared" si="1"/>
        <v>2.803186780761191E-3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59.539500000000004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7">
        <f t="shared" si="1"/>
        <v>-1.3822202822639351E-2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58.95</v>
      </c>
      <c r="Q51" s="2"/>
      <c r="T51" s="92" t="s">
        <v>105</v>
      </c>
      <c r="U51" s="129" t="s">
        <v>667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7">
        <f t="shared" si="1"/>
        <v>1.4614703277236574E-2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58.360500000000002</v>
      </c>
      <c r="Q52" s="2"/>
      <c r="T52" s="92" t="s">
        <v>106</v>
      </c>
      <c r="U52" s="129" t="s">
        <v>447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7">
        <f t="shared" si="1"/>
        <v>-3.3838458143299333E-3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57.771000000000001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7">
        <f t="shared" si="1"/>
        <v>-1.7064352856109966E-2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57.1815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7">
        <f t="shared" si="1"/>
        <v>2.4644824586836922E-3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56.591999999999999</v>
      </c>
      <c r="T55" s="92" t="s">
        <v>108</v>
      </c>
      <c r="U55" s="129" t="s">
        <v>668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7">
        <f t="shared" si="1"/>
        <v>-8.9080459770113363E-3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56.002499999999998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7">
        <f t="shared" si="1"/>
        <v>-2.7224530735063812E-3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55.412999999999997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7">
        <f t="shared" si="1"/>
        <v>-3.2847757783488474E-3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54.823500000000003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7">
        <f t="shared" si="1"/>
        <v>1.2870012870012104E-3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54.234000000000002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7">
        <f t="shared" si="1"/>
        <v>-2.7096406160866948E-3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53.644500000000008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7">
        <f t="shared" si="1"/>
        <v>-2.2766078542970636E-3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53.055000000000007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7">
        <f t="shared" si="1"/>
        <v>4.0000000000000036E-3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7">
        <f t="shared" si="1"/>
        <v>3.0090270812437314E-3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7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7">
        <f t="shared" si="1"/>
        <v>1.7854529489243376E-2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7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7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51" priority="11">
      <formula>F34&gt;0</formula>
    </cfRule>
    <cfRule type="expression" dxfId="1050" priority="12">
      <formula>F34&lt;0</formula>
    </cfRule>
  </conditionalFormatting>
  <conditionalFormatting sqref="Q7">
    <cfRule type="expression" dxfId="1049" priority="9">
      <formula>Q7&gt;0</formula>
    </cfRule>
    <cfRule type="expression" dxfId="1048" priority="10">
      <formula>Q7&lt;0</formula>
    </cfRule>
  </conditionalFormatting>
  <conditionalFormatting sqref="Q8">
    <cfRule type="expression" dxfId="1047" priority="7">
      <formula>Q8&gt;0</formula>
    </cfRule>
    <cfRule type="expression" dxfId="1046" priority="8">
      <formula>Q8&lt;0</formula>
    </cfRule>
  </conditionalFormatting>
  <conditionalFormatting sqref="F25:F33">
    <cfRule type="expression" dxfId="1045" priority="5">
      <formula>F25&gt;0</formula>
    </cfRule>
    <cfRule type="expression" dxfId="1044" priority="6">
      <formula>F25&lt;0</formula>
    </cfRule>
  </conditionalFormatting>
  <conditionalFormatting sqref="H25:H33">
    <cfRule type="expression" dxfId="1043" priority="3">
      <formula>H25&gt;0</formula>
    </cfRule>
    <cfRule type="expression" dxfId="1042" priority="4">
      <formula>H25&lt;0</formula>
    </cfRule>
  </conditionalFormatting>
  <conditionalFormatting sqref="M46">
    <cfRule type="expression" dxfId="1041" priority="1">
      <formula>M46&gt;0</formula>
    </cfRule>
    <cfRule type="expression" dxfId="104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31" x14ac:dyDescent="0.25">
      <c r="A2" s="6" t="s">
        <v>782</v>
      </c>
      <c r="B2" s="498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490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25.8</v>
      </c>
      <c r="R4" s="499">
        <v>-3.3300000000000003E-2</v>
      </c>
      <c r="T4" s="162"/>
      <c r="U4" s="1"/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2580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112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112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4.5380875202593193E-2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31" x14ac:dyDescent="0.25">
      <c r="H10" s="71"/>
      <c r="O10" s="11" t="s">
        <v>212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31" x14ac:dyDescent="0.25">
      <c r="H11" s="71"/>
      <c r="O11" s="11" t="s">
        <v>178</v>
      </c>
      <c r="P11" s="34"/>
      <c r="Q11" s="137" t="e">
        <f>IF(U58="N/A (N/A)", 0, VALUE(TRIM(CLEAN(MID(U58, FIND("(", U58)+1, 5)))))</f>
        <v>#VALUE!</v>
      </c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B25" s="192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30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28.380000000000003</v>
      </c>
      <c r="Q41" s="2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4">O42*$Q$4</f>
        <v>28.122000000000003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4"/>
        <v>27.864000000000004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4"/>
        <v>27.606000000000002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4"/>
        <v>27.348000000000003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4"/>
        <v>27.090000000000003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4"/>
        <v>26.832000000000001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4"/>
        <v>26.574000000000002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4"/>
        <v>26.316000000000003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4"/>
        <v>26.058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4"/>
        <v>25.8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4"/>
        <v>25.542000000000002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4"/>
        <v>25.283999999999999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4"/>
        <v>25.026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4"/>
        <v>24.768000000000001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4"/>
        <v>24.509999999999998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4"/>
        <v>24.251999999999999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4"/>
        <v>23.994000000000003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4"/>
        <v>23.736000000000001</v>
      </c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4"/>
        <v>23.478000000000002</v>
      </c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4"/>
        <v>23.220000000000002</v>
      </c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39" priority="9">
      <formula>F57&gt;0</formula>
    </cfRule>
    <cfRule type="expression" dxfId="1038" priority="10">
      <formula>F57&lt;0</formula>
    </cfRule>
  </conditionalFormatting>
  <conditionalFormatting sqref="Q7">
    <cfRule type="expression" dxfId="1037" priority="7">
      <formula>Q7&gt;0</formula>
    </cfRule>
    <cfRule type="expression" dxfId="1036" priority="8">
      <formula>Q7&lt;0</formula>
    </cfRule>
  </conditionalFormatting>
  <conditionalFormatting sqref="Q8">
    <cfRule type="expression" dxfId="1035" priority="5">
      <formula>Q8&gt;0</formula>
    </cfRule>
    <cfRule type="expression" dxfId="1034" priority="6">
      <formula>Q8&lt;0</formula>
    </cfRule>
  </conditionalFormatting>
  <conditionalFormatting sqref="F25:F56">
    <cfRule type="expression" dxfId="1033" priority="3">
      <formula>F25&gt;0</formula>
    </cfRule>
    <cfRule type="expression" dxfId="1032" priority="4">
      <formula>F25&lt;0</formula>
    </cfRule>
  </conditionalFormatting>
  <conditionalFormatting sqref="H25:H56">
    <cfRule type="expression" dxfId="1031" priority="1">
      <formula>H25&gt;0</formula>
    </cfRule>
    <cfRule type="expression" dxfId="10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492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7">
        <f>AC2/AC3-1</f>
        <v>-1.0787209451650237E-2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7">
        <f t="shared" ref="AE3:AE66" si="1">AC3/AC4-1</f>
        <v>-2.3062139654066449E-3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546</v>
      </c>
      <c r="M4" s="4"/>
      <c r="O4" s="11" t="s">
        <v>66</v>
      </c>
      <c r="Q4" s="55">
        <v>78.25</v>
      </c>
      <c r="R4" s="499">
        <v>-6.1000000000000004E-3</v>
      </c>
      <c r="T4" s="162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7">
        <f t="shared" si="1"/>
        <v>-5.7324840764331197E-3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4695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7">
        <f t="shared" si="1"/>
        <v>-4.4388078630309691E-3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7">
        <f t="shared" si="1"/>
        <v>1.1427120365665733E-3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-56.480000000003201</v>
      </c>
      <c r="R7">
        <v>60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7">
        <f t="shared" si="1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-56.480000000003201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7">
        <f t="shared" si="1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-1.1886822632106872E-2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7">
        <f t="shared" si="1"/>
        <v>2.5480952987644301E-4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7">
        <f t="shared" si="1"/>
        <v>2.4265644955299148E-3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7">
        <f t="shared" si="1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7">
        <f t="shared" si="1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7">
        <f t="shared" si="1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7">
        <f t="shared" si="1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7">
        <f t="shared" si="1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7">
        <f t="shared" si="1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7">
        <f t="shared" si="1"/>
        <v>-2.0027537864563127E-3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7">
        <f t="shared" si="1"/>
        <v>-6.8373943311784702E-3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7">
        <f t="shared" si="1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7">
        <f t="shared" si="1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7">
        <f t="shared" si="1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7">
        <f t="shared" si="1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7">
        <f t="shared" si="1"/>
        <v>-4.9474335188615104E-4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7">
        <f t="shared" si="1"/>
        <v>-2.0982473463342366E-3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7">
        <f t="shared" si="1"/>
        <v>-4.0565457897971946E-3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7">
        <f t="shared" si="1"/>
        <v>8.0545229244113337E-3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7">
        <f t="shared" si="1"/>
        <v>1.4892032762472418E-3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7">
        <f t="shared" si="1"/>
        <v>-1.0195307701756473E-2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7">
        <f t="shared" si="1"/>
        <v>-8.5910652920972996E-4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7">
        <f t="shared" si="1"/>
        <v>7.6675735839724091E-3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7">
        <f t="shared" si="1"/>
        <v>8.7325349301397015E-3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7">
        <f t="shared" si="1"/>
        <v>5.015045135406071E-3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7">
        <f t="shared" si="1"/>
        <v>8.7840381478243579E-4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7">
        <f t="shared" si="1"/>
        <v>3.0207677784770404E-3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7">
        <f t="shared" si="1"/>
        <v>5.037148973681127E-4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7">
        <f t="shared" si="1"/>
        <v>9.4063810855471441E-3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7">
        <f t="shared" si="1"/>
        <v>-3.8119440914863301E-4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7">
        <f t="shared" si="1"/>
        <v>2.1647777919266975E-3</v>
      </c>
    </row>
    <row r="39" spans="1:31" x14ac:dyDescent="0.25">
      <c r="A39" t="s">
        <v>395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7">
        <f t="shared" si="1"/>
        <v>1.5780623463976129E-2</v>
      </c>
    </row>
    <row r="40" spans="1:31" ht="20.25" thickBot="1" x14ac:dyDescent="0.35">
      <c r="A40" t="s">
        <v>412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7">
        <f t="shared" si="1"/>
        <v>3.6349474230819023E-3</v>
      </c>
    </row>
    <row r="41" spans="1:31" ht="15.75" thickTop="1" x14ac:dyDescent="0.25">
      <c r="A41" t="s">
        <v>412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86.075000000000003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7">
        <f t="shared" si="1"/>
        <v>8.7742273441593355E-3</v>
      </c>
    </row>
    <row r="42" spans="1:31" ht="20.25" thickBot="1" x14ac:dyDescent="0.35">
      <c r="A42" t="s">
        <v>470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85.292500000000004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7">
        <f t="shared" si="1"/>
        <v>3.8122781648481929E-3</v>
      </c>
    </row>
    <row r="43" spans="1:31" ht="15.75" thickTop="1" x14ac:dyDescent="0.25">
      <c r="A43" t="s">
        <v>472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84.51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7">
        <f t="shared" si="1"/>
        <v>8.0837529817121556E-3</v>
      </c>
    </row>
    <row r="44" spans="1:31" x14ac:dyDescent="0.25">
      <c r="A44" t="s">
        <v>472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83.727500000000006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7">
        <f t="shared" si="1"/>
        <v>8.8235294117646745E-3</v>
      </c>
    </row>
    <row r="45" spans="1:31" x14ac:dyDescent="0.25">
      <c r="A45" t="s">
        <v>503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82.945000000000007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7">
        <f t="shared" si="1"/>
        <v>-4.0656662819033018E-2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82.162500000000009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7">
        <f t="shared" si="1"/>
        <v>-1.0658545869813518E-2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:F48" si="15">C47*(E47-D47)</f>
        <v>-42.078000000000202</v>
      </c>
      <c r="G47" s="40">
        <f t="shared" ref="G47:G48" si="16">D47*C47</f>
        <v>4751.4780000000001</v>
      </c>
      <c r="H47" s="230">
        <f t="shared" ref="H47:H48" si="17">(E47-D47)/D47</f>
        <v>-8.8557707727995802E-3</v>
      </c>
      <c r="I47" s="40"/>
      <c r="O47" s="82">
        <v>1.04</v>
      </c>
      <c r="P47" s="82">
        <f t="shared" si="5"/>
        <v>81.38000000000001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7">
        <f t="shared" si="1"/>
        <v>1.6522623284187521E-3</v>
      </c>
    </row>
    <row r="48" spans="1:31" x14ac:dyDescent="0.25">
      <c r="A48">
        <v>60</v>
      </c>
      <c r="B48" s="192">
        <v>42841</v>
      </c>
      <c r="C48" s="10">
        <v>60</v>
      </c>
      <c r="D48" s="40">
        <v>79.19</v>
      </c>
      <c r="E48" s="40">
        <v>77.959999999999994</v>
      </c>
      <c r="F48" s="40">
        <f t="shared" si="15"/>
        <v>-73.800000000000239</v>
      </c>
      <c r="G48" s="40">
        <f t="shared" si="16"/>
        <v>4751.3999999999996</v>
      </c>
      <c r="H48" s="230">
        <f t="shared" si="17"/>
        <v>-1.5532264174769592E-2</v>
      </c>
      <c r="I48" s="40"/>
      <c r="O48" s="82">
        <v>1.03</v>
      </c>
      <c r="P48" s="82">
        <f t="shared" si="5"/>
        <v>80.597499999999997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7">
        <f t="shared" si="1"/>
        <v>1.1961414790996772E-2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79.814999999999998</v>
      </c>
      <c r="Q49" s="2"/>
      <c r="T49" s="92" t="s">
        <v>104</v>
      </c>
      <c r="U49" s="129" t="s">
        <v>506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7">
        <f t="shared" si="1"/>
        <v>-1.991680322702627E-2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79.032499999999999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7">
        <f t="shared" si="1"/>
        <v>-2.0128318027424763E-3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78.25</v>
      </c>
      <c r="Q51" s="2"/>
      <c r="T51" s="92" t="s">
        <v>105</v>
      </c>
      <c r="U51" s="129" t="s">
        <v>669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7">
        <f t="shared" si="1"/>
        <v>-2.8001956468574285E-2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77.467500000000001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7">
        <f t="shared" si="1"/>
        <v>6.5230769230768537E-3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76.685000000000002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7">
        <f t="shared" si="1"/>
        <v>-3.8008827856792493E-3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75.902500000000003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7" t="e">
        <f t="shared" si="1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75.11999999999999</v>
      </c>
      <c r="T55" s="92" t="s">
        <v>108</v>
      </c>
      <c r="U55" s="129" t="s">
        <v>670</v>
      </c>
      <c r="W55" s="132">
        <v>42755</v>
      </c>
      <c r="X55" s="10" t="s">
        <v>365</v>
      </c>
      <c r="Y55" s="10"/>
      <c r="Z55" s="10"/>
      <c r="AA55" s="10"/>
      <c r="AB55" s="94"/>
      <c r="AC55" s="10"/>
      <c r="AD55" s="2"/>
      <c r="AE55" s="137">
        <f t="shared" si="1"/>
        <v>-1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74.337499999999991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7">
        <f t="shared" si="1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73.554999999999993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7">
        <f t="shared" si="1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72.772500000000008</v>
      </c>
      <c r="T58" s="92" t="s">
        <v>109</v>
      </c>
      <c r="U58" s="129" t="s">
        <v>582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7">
        <f t="shared" si="1"/>
        <v>2.3683887593569874E-2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71.990000000000009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7">
        <f t="shared" si="1"/>
        <v>-7.4299634591961095E-3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71.207499999999996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7">
        <f t="shared" si="1"/>
        <v>-2.0663668408897884E-3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70.424999999999997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7">
        <f t="shared" si="1"/>
        <v>1.2169891687963119E-3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7">
        <f t="shared" si="1"/>
        <v>1.1821204285186626E-2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7">
        <f t="shared" si="1"/>
        <v>-6.1192020560518756E-3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7">
        <f t="shared" si="1"/>
        <v>9.6379587297663605E-3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7">
        <f t="shared" si="1"/>
        <v>2.0941087422732485E-2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7">
        <f t="shared" si="1"/>
        <v>-7.5122073369225939E-3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29" priority="9">
      <formula>F57&gt;0</formula>
    </cfRule>
    <cfRule type="expression" dxfId="1028" priority="10">
      <formula>F57&lt;0</formula>
    </cfRule>
  </conditionalFormatting>
  <conditionalFormatting sqref="Q7">
    <cfRule type="expression" dxfId="1027" priority="7">
      <formula>Q7&gt;0</formula>
    </cfRule>
    <cfRule type="expression" dxfId="1026" priority="8">
      <formula>Q7&lt;0</formula>
    </cfRule>
  </conditionalFormatting>
  <conditionalFormatting sqref="Q8">
    <cfRule type="expression" dxfId="1025" priority="5">
      <formula>Q8&gt;0</formula>
    </cfRule>
    <cfRule type="expression" dxfId="1024" priority="6">
      <formula>Q8&lt;0</formula>
    </cfRule>
  </conditionalFormatting>
  <conditionalFormatting sqref="F25:F56">
    <cfRule type="expression" dxfId="1023" priority="3">
      <formula>F25&gt;0</formula>
    </cfRule>
    <cfRule type="expression" dxfId="1022" priority="4">
      <formula>F25&lt;0</formula>
    </cfRule>
  </conditionalFormatting>
  <conditionalFormatting sqref="H25:H56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7">
        <v>500</v>
      </c>
      <c r="D2" s="78">
        <v>17.79</v>
      </c>
      <c r="E2" s="44">
        <v>0</v>
      </c>
      <c r="F2" s="44">
        <f t="shared" ref="F2:F27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6200</v>
      </c>
      <c r="T2" s="42" t="s">
        <v>517</v>
      </c>
      <c r="W2" s="132">
        <v>42830</v>
      </c>
      <c r="X2" s="10">
        <v>16.309999999999999</v>
      </c>
      <c r="Y2" s="10">
        <v>16.64</v>
      </c>
      <c r="Z2" s="10">
        <v>15.95</v>
      </c>
      <c r="AA2" s="10">
        <v>15.98</v>
      </c>
      <c r="AB2" s="94">
        <v>19610200</v>
      </c>
      <c r="AC2" s="10">
        <v>15.98</v>
      </c>
      <c r="AE2" s="137">
        <f t="shared" ref="AE2:AE14" si="1">AC2/AC3-1</f>
        <v>-9.9132589838909491E-3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7" si="2">H3*I3-J3</f>
        <v>3119.93</v>
      </c>
      <c r="L3" s="73" t="s">
        <v>543</v>
      </c>
      <c r="M3" s="3"/>
      <c r="O3" s="11" t="s">
        <v>58</v>
      </c>
      <c r="Q3" s="507">
        <f>IF(Q2=0, Q4, (F31-K31-M31)/Q2)</f>
        <v>16.37519838709677</v>
      </c>
      <c r="W3" s="132">
        <v>42829</v>
      </c>
      <c r="X3" s="10">
        <v>15.81</v>
      </c>
      <c r="Y3" s="10">
        <v>16.149999999999999</v>
      </c>
      <c r="Z3" s="10">
        <v>15.65</v>
      </c>
      <c r="AA3" s="10">
        <v>16.14</v>
      </c>
      <c r="AB3" s="94">
        <v>9112200</v>
      </c>
      <c r="AC3" s="10">
        <v>16.14</v>
      </c>
      <c r="AE3" s="137">
        <f t="shared" si="1"/>
        <v>2.0227560050569027E-2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15.74</v>
      </c>
      <c r="R4" s="499">
        <v>-1.7500000000000002E-2</v>
      </c>
      <c r="W4" s="132">
        <v>42828</v>
      </c>
      <c r="X4" s="10">
        <v>15.81</v>
      </c>
      <c r="Y4" s="10">
        <v>15.9</v>
      </c>
      <c r="Z4" s="10">
        <v>15.54</v>
      </c>
      <c r="AA4" s="10">
        <v>15.82</v>
      </c>
      <c r="AB4" s="94">
        <v>8407300</v>
      </c>
      <c r="AC4" s="10">
        <v>15.82</v>
      </c>
      <c r="AE4" s="137">
        <f t="shared" si="1"/>
        <v>1.2658227848101333E-3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97588</v>
      </c>
      <c r="T5" s="67"/>
      <c r="W5" s="132">
        <v>42825</v>
      </c>
      <c r="X5" s="10">
        <v>15.8</v>
      </c>
      <c r="Y5" s="10">
        <v>16</v>
      </c>
      <c r="Z5" s="10">
        <v>15.56</v>
      </c>
      <c r="AA5" s="10">
        <v>15.8</v>
      </c>
      <c r="AB5" s="94">
        <v>9786600</v>
      </c>
      <c r="AC5" s="10">
        <v>15.8</v>
      </c>
      <c r="AE5" s="137">
        <f t="shared" si="1"/>
        <v>-3.154574132492094E-3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101526.22999999997</v>
      </c>
      <c r="W6" s="132">
        <v>42824</v>
      </c>
      <c r="X6" s="10">
        <v>16.05</v>
      </c>
      <c r="Y6" s="10">
        <v>16.18</v>
      </c>
      <c r="Z6" s="10">
        <v>15.78</v>
      </c>
      <c r="AA6" s="10">
        <v>15.85</v>
      </c>
      <c r="AB6" s="94">
        <v>13245900</v>
      </c>
      <c r="AC6" s="10">
        <v>15.85</v>
      </c>
      <c r="AE6" s="137">
        <f t="shared" si="1"/>
        <v>0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500">
        <v>42830</v>
      </c>
      <c r="H7" s="81">
        <v>300</v>
      </c>
      <c r="I7" s="78">
        <v>16.62</v>
      </c>
      <c r="J7" s="44">
        <v>0.11</v>
      </c>
      <c r="K7" s="44">
        <f t="shared" si="2"/>
        <v>4985.8900000000003</v>
      </c>
      <c r="O7" s="11" t="s">
        <v>181</v>
      </c>
      <c r="Q7" s="2">
        <f>Q10+Q8</f>
        <v>10677.341000001645</v>
      </c>
      <c r="R7">
        <v>5300</v>
      </c>
      <c r="U7" s="183"/>
      <c r="W7" s="132">
        <v>42823</v>
      </c>
      <c r="X7" s="10">
        <v>15.21</v>
      </c>
      <c r="Y7" s="10">
        <v>15.98</v>
      </c>
      <c r="Z7" s="10">
        <v>15.18</v>
      </c>
      <c r="AA7" s="10">
        <v>15.85</v>
      </c>
      <c r="AB7" s="94">
        <v>15741900</v>
      </c>
      <c r="AC7" s="10">
        <v>15.85</v>
      </c>
      <c r="AE7" s="137">
        <f t="shared" si="1"/>
        <v>4.0709126723571742E-2</v>
      </c>
    </row>
    <row r="8" spans="1:41" x14ac:dyDescent="0.25">
      <c r="A8" s="638"/>
      <c r="B8" s="500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-3938.2299999999814</v>
      </c>
      <c r="W8" s="132">
        <v>42822</v>
      </c>
      <c r="X8" s="10">
        <v>14.76</v>
      </c>
      <c r="Y8" s="10">
        <v>15.27</v>
      </c>
      <c r="Z8" s="10">
        <v>14.72</v>
      </c>
      <c r="AA8" s="10">
        <v>15.23</v>
      </c>
      <c r="AB8" s="94">
        <v>12950700</v>
      </c>
      <c r="AC8" s="10">
        <v>15.23</v>
      </c>
      <c r="AE8" s="137">
        <f t="shared" si="1"/>
        <v>3.2542372881355863E-2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-3.8790271243204666E-2</v>
      </c>
      <c r="W9" s="132">
        <v>42821</v>
      </c>
      <c r="X9" s="10">
        <v>14.41</v>
      </c>
      <c r="Y9" s="10">
        <v>14.78</v>
      </c>
      <c r="Z9" s="10">
        <v>14.3</v>
      </c>
      <c r="AA9" s="10">
        <v>14.75</v>
      </c>
      <c r="AB9" s="94">
        <v>9619100</v>
      </c>
      <c r="AC9" s="10">
        <v>14.75</v>
      </c>
      <c r="AE9" s="137">
        <f t="shared" si="1"/>
        <v>9.5824777549624596E-3</v>
      </c>
    </row>
    <row r="10" spans="1:41" ht="15" customHeight="1" x14ac:dyDescent="0.25">
      <c r="A10" s="638"/>
      <c r="B10" s="501">
        <v>42767</v>
      </c>
      <c r="C10" s="4">
        <v>500</v>
      </c>
      <c r="D10" s="239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42818</v>
      </c>
      <c r="X10" s="10">
        <v>14.73</v>
      </c>
      <c r="Y10" s="10">
        <v>14.95</v>
      </c>
      <c r="Z10" s="10">
        <v>14.55</v>
      </c>
      <c r="AA10" s="10">
        <v>14.61</v>
      </c>
      <c r="AB10" s="94">
        <v>11814900</v>
      </c>
      <c r="AC10" s="10">
        <v>14.61</v>
      </c>
      <c r="AE10" s="137">
        <f t="shared" si="1"/>
        <v>-4.7683923705722497E-3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42817</v>
      </c>
      <c r="X11" s="10">
        <v>14.96</v>
      </c>
      <c r="Y11" s="10">
        <v>15.02</v>
      </c>
      <c r="Z11" s="10">
        <v>14.66</v>
      </c>
      <c r="AA11" s="10">
        <v>14.68</v>
      </c>
      <c r="AB11" s="94">
        <v>14362600</v>
      </c>
      <c r="AC11" s="10">
        <v>14.68</v>
      </c>
      <c r="AE11" s="137">
        <f t="shared" si="1"/>
        <v>-2.2636484687083902E-2</v>
      </c>
    </row>
    <row r="12" spans="1:41" x14ac:dyDescent="0.25">
      <c r="A12" s="638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42816</v>
      </c>
      <c r="X12" s="10">
        <v>14.95</v>
      </c>
      <c r="Y12" s="10">
        <v>15.13</v>
      </c>
      <c r="Z12" s="10">
        <v>14.81</v>
      </c>
      <c r="AA12" s="10">
        <v>15.02</v>
      </c>
      <c r="AB12" s="94">
        <v>10055400</v>
      </c>
      <c r="AC12" s="10">
        <v>15.02</v>
      </c>
      <c r="AE12" s="137">
        <f t="shared" si="1"/>
        <v>-1.9933554817276322E-3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42815</v>
      </c>
      <c r="X13" s="10">
        <v>15.55</v>
      </c>
      <c r="Y13" s="10">
        <v>15.57</v>
      </c>
      <c r="Z13" s="10">
        <v>14.89</v>
      </c>
      <c r="AA13" s="10">
        <v>15.05</v>
      </c>
      <c r="AB13" s="94">
        <v>15350700</v>
      </c>
      <c r="AC13" s="10">
        <v>15.05</v>
      </c>
      <c r="AE13" s="137">
        <f t="shared" si="1"/>
        <v>-2.777777777777779E-2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42814</v>
      </c>
      <c r="X14" s="10">
        <v>15.29</v>
      </c>
      <c r="Y14" s="10">
        <v>15.52</v>
      </c>
      <c r="Z14" s="10">
        <v>15.08</v>
      </c>
      <c r="AA14" s="10">
        <v>15.48</v>
      </c>
      <c r="AB14" s="94">
        <v>11142600</v>
      </c>
      <c r="AC14" s="10">
        <v>15.48</v>
      </c>
      <c r="AE14" s="137">
        <f t="shared" si="1"/>
        <v>1.2936610608020871E-3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42811</v>
      </c>
      <c r="X15" s="10">
        <v>15.61</v>
      </c>
      <c r="Y15" s="10">
        <v>15.65</v>
      </c>
      <c r="Z15" s="10">
        <v>15.39</v>
      </c>
      <c r="AA15" s="10">
        <v>15.46</v>
      </c>
      <c r="AB15" s="94">
        <v>12129400</v>
      </c>
      <c r="AC15" s="10">
        <v>15.46</v>
      </c>
      <c r="AE15" s="137">
        <f>AC15/AC16-1</f>
        <v>-5.7877813504823017E-3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42810</v>
      </c>
      <c r="X16" s="10">
        <v>15.63</v>
      </c>
      <c r="Y16" s="10">
        <v>15.7</v>
      </c>
      <c r="Z16" s="10">
        <v>15.43</v>
      </c>
      <c r="AA16" s="10">
        <v>15.55</v>
      </c>
      <c r="AB16" s="94">
        <v>9523200</v>
      </c>
      <c r="AC16" s="10">
        <v>15.55</v>
      </c>
      <c r="AE16" s="137">
        <f t="shared" ref="AE16:AE66" si="3">AC16/AC17-1</f>
        <v>-6.4267352185087834E-4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42809</v>
      </c>
      <c r="X17" s="10">
        <v>15.48</v>
      </c>
      <c r="Y17" s="10">
        <v>15.68</v>
      </c>
      <c r="Z17" s="10">
        <v>15.23</v>
      </c>
      <c r="AA17" s="10">
        <v>15.56</v>
      </c>
      <c r="AB17" s="94">
        <v>15756400</v>
      </c>
      <c r="AC17" s="10">
        <v>15.56</v>
      </c>
      <c r="AE17" s="137">
        <f t="shared" si="3"/>
        <v>1.5665796344647598E-2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42808</v>
      </c>
      <c r="X18" s="10">
        <v>15.49</v>
      </c>
      <c r="Y18" s="10">
        <v>15.5</v>
      </c>
      <c r="Z18" s="10">
        <v>14.61</v>
      </c>
      <c r="AA18" s="10">
        <v>15.32</v>
      </c>
      <c r="AB18" s="94">
        <v>24942900</v>
      </c>
      <c r="AC18" s="10">
        <v>15.32</v>
      </c>
      <c r="AE18" s="137">
        <f t="shared" si="3"/>
        <v>-3.2828282828282762E-2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42807</v>
      </c>
      <c r="X19" s="10">
        <v>16.05</v>
      </c>
      <c r="Y19" s="10">
        <v>16.25</v>
      </c>
      <c r="Z19" s="10">
        <v>15.8</v>
      </c>
      <c r="AA19" s="10">
        <v>15.84</v>
      </c>
      <c r="AB19" s="94">
        <v>15432300</v>
      </c>
      <c r="AC19" s="10">
        <v>15.84</v>
      </c>
      <c r="AE19" s="137">
        <f t="shared" si="3"/>
        <v>-1.980198019801982E-2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42804</v>
      </c>
      <c r="X20" s="10">
        <v>16.440000000000001</v>
      </c>
      <c r="Y20" s="10">
        <v>16.54</v>
      </c>
      <c r="Z20" s="10">
        <v>15.61</v>
      </c>
      <c r="AA20" s="10">
        <v>16.16</v>
      </c>
      <c r="AB20" s="94">
        <v>24326700</v>
      </c>
      <c r="AC20" s="10">
        <v>16.16</v>
      </c>
      <c r="AE20" s="137">
        <f t="shared" si="3"/>
        <v>5.6004978220285384E-3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42803</v>
      </c>
      <c r="X21" s="10">
        <v>15.66</v>
      </c>
      <c r="Y21" s="10">
        <v>16.07</v>
      </c>
      <c r="Z21" s="10">
        <v>15.22</v>
      </c>
      <c r="AA21" s="10">
        <v>16.07</v>
      </c>
      <c r="AB21" s="94">
        <v>36557900</v>
      </c>
      <c r="AC21" s="10">
        <v>16.07</v>
      </c>
      <c r="AE21" s="137">
        <f t="shared" si="3"/>
        <v>8.0699394754539355E-2</v>
      </c>
    </row>
    <row r="22" spans="1:31" x14ac:dyDescent="0.25">
      <c r="B22" s="501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42802</v>
      </c>
      <c r="X22" s="10">
        <v>16.12</v>
      </c>
      <c r="Y22" s="10">
        <v>16.21</v>
      </c>
      <c r="Z22" s="10">
        <v>14.81</v>
      </c>
      <c r="AA22" s="10">
        <v>14.87</v>
      </c>
      <c r="AB22" s="94">
        <v>24467100</v>
      </c>
      <c r="AC22" s="10">
        <v>14.87</v>
      </c>
      <c r="AE22" s="137">
        <f t="shared" si="3"/>
        <v>-8.6609336609336673E-2</v>
      </c>
    </row>
    <row r="23" spans="1:31" x14ac:dyDescent="0.25">
      <c r="B23" s="501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42801</v>
      </c>
      <c r="X23" s="10">
        <v>16.55</v>
      </c>
      <c r="Y23" s="10">
        <v>16.59</v>
      </c>
      <c r="Z23" s="10">
        <v>16.11</v>
      </c>
      <c r="AA23" s="10">
        <v>16.28</v>
      </c>
      <c r="AB23" s="94">
        <v>11320400</v>
      </c>
      <c r="AC23" s="10">
        <v>16.28</v>
      </c>
      <c r="AE23" s="137">
        <f t="shared" si="3"/>
        <v>-1.1536126290224491E-2</v>
      </c>
    </row>
    <row r="24" spans="1:31" x14ac:dyDescent="0.25">
      <c r="B24" s="501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42800</v>
      </c>
      <c r="X24" s="10">
        <v>16.100000000000001</v>
      </c>
      <c r="Y24" s="10">
        <v>16.48</v>
      </c>
      <c r="Z24" s="10">
        <v>15.98</v>
      </c>
      <c r="AA24" s="10">
        <v>16.47</v>
      </c>
      <c r="AB24" s="94">
        <v>8821100</v>
      </c>
      <c r="AC24" s="10">
        <v>16.47</v>
      </c>
      <c r="AE24" s="137">
        <f t="shared" si="3"/>
        <v>1.7923362175525259E-2</v>
      </c>
    </row>
    <row r="25" spans="1:31" x14ac:dyDescent="0.25">
      <c r="B25" s="502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42797</v>
      </c>
      <c r="X25" s="10">
        <v>16.18</v>
      </c>
      <c r="Y25" s="10">
        <v>16.5</v>
      </c>
      <c r="Z25" s="10">
        <v>16.12</v>
      </c>
      <c r="AA25" s="10">
        <v>16.18</v>
      </c>
      <c r="AB25" s="94">
        <v>6963100</v>
      </c>
      <c r="AC25" s="10">
        <v>16.18</v>
      </c>
      <c r="AE25" s="137">
        <f t="shared" si="3"/>
        <v>2.4783147459725985E-3</v>
      </c>
    </row>
    <row r="26" spans="1:31" ht="15" customHeight="1" x14ac:dyDescent="0.25">
      <c r="B26" s="502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  <c r="W26" s="132">
        <v>42796</v>
      </c>
      <c r="X26" s="10">
        <v>16.25</v>
      </c>
      <c r="Y26" s="10">
        <v>16.48</v>
      </c>
      <c r="Z26" s="10">
        <v>16.09</v>
      </c>
      <c r="AA26" s="10">
        <v>16.14</v>
      </c>
      <c r="AB26" s="94">
        <v>11303300</v>
      </c>
      <c r="AC26" s="10">
        <v>16.14</v>
      </c>
      <c r="AE26" s="137">
        <f t="shared" si="3"/>
        <v>-1.8844984802431575E-2</v>
      </c>
    </row>
    <row r="27" spans="1:31" ht="15" customHeight="1" x14ac:dyDescent="0.25">
      <c r="B27" s="502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  <c r="W27" s="132">
        <v>42795</v>
      </c>
      <c r="X27" s="10">
        <v>16.16</v>
      </c>
      <c r="Y27" s="10">
        <v>16.649999999999999</v>
      </c>
      <c r="Z27" s="10">
        <v>16.100000000000001</v>
      </c>
      <c r="AA27" s="10">
        <v>16.45</v>
      </c>
      <c r="AB27" s="94">
        <v>12907800</v>
      </c>
      <c r="AC27" s="10">
        <v>16.45</v>
      </c>
      <c r="AE27" s="137">
        <f t="shared" si="3"/>
        <v>2.8124999999999956E-2</v>
      </c>
    </row>
    <row r="28" spans="1:31" x14ac:dyDescent="0.25">
      <c r="G28" s="30"/>
      <c r="Q28" s="2"/>
      <c r="W28" s="132">
        <v>42794</v>
      </c>
      <c r="X28" s="10">
        <v>15.68</v>
      </c>
      <c r="Y28" s="10">
        <v>16.12</v>
      </c>
      <c r="Z28" s="10">
        <v>15.67</v>
      </c>
      <c r="AA28" s="10">
        <v>16</v>
      </c>
      <c r="AB28" s="94">
        <v>13359800</v>
      </c>
      <c r="AC28" s="10">
        <v>16</v>
      </c>
      <c r="AE28" s="137">
        <f t="shared" si="3"/>
        <v>9.4637223974762819E-3</v>
      </c>
    </row>
    <row r="29" spans="1:31" x14ac:dyDescent="0.25">
      <c r="G29" s="30"/>
      <c r="Q29" s="2"/>
      <c r="W29" s="132">
        <v>42793</v>
      </c>
      <c r="X29" s="10">
        <v>15.9</v>
      </c>
      <c r="Y29" s="10">
        <v>15.98</v>
      </c>
      <c r="Z29" s="10">
        <v>15.66</v>
      </c>
      <c r="AA29" s="10">
        <v>15.85</v>
      </c>
      <c r="AB29" s="94">
        <v>11127800</v>
      </c>
      <c r="AC29" s="10">
        <v>15.85</v>
      </c>
      <c r="AE29" s="137">
        <f t="shared" si="3"/>
        <v>7.6287349014620975E-3</v>
      </c>
    </row>
    <row r="30" spans="1:31" x14ac:dyDescent="0.25">
      <c r="G30" s="30"/>
      <c r="Q30" s="2"/>
      <c r="W30" s="132">
        <v>42790</v>
      </c>
      <c r="X30" s="10">
        <v>15.69</v>
      </c>
      <c r="Y30" s="10">
        <v>15.99</v>
      </c>
      <c r="Z30" s="10">
        <v>15.59</v>
      </c>
      <c r="AA30" s="10">
        <v>15.73</v>
      </c>
      <c r="AB30" s="94">
        <v>12086500</v>
      </c>
      <c r="AC30" s="10">
        <v>15.73</v>
      </c>
      <c r="AE30" s="137">
        <f t="shared" si="3"/>
        <v>-1.5644555694618312E-2</v>
      </c>
    </row>
    <row r="31" spans="1:31" x14ac:dyDescent="0.25">
      <c r="A31" s="32" t="s">
        <v>81</v>
      </c>
      <c r="B31" s="503"/>
      <c r="C31" s="72">
        <f>SUM(C2:C30)</f>
        <v>8600</v>
      </c>
      <c r="D31" s="18"/>
      <c r="E31" s="18"/>
      <c r="F31" s="18">
        <f>SUM(F2:F30)</f>
        <v>139983.4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330</v>
      </c>
      <c r="Q31" s="2"/>
      <c r="W31" s="132">
        <v>42789</v>
      </c>
      <c r="X31" s="10">
        <v>16.25</v>
      </c>
      <c r="Y31" s="10">
        <v>16.25</v>
      </c>
      <c r="Z31" s="10">
        <v>15.7</v>
      </c>
      <c r="AA31" s="10">
        <v>15.98</v>
      </c>
      <c r="AB31" s="94">
        <v>16327900</v>
      </c>
      <c r="AC31" s="10">
        <v>15.98</v>
      </c>
      <c r="AE31" s="137">
        <f t="shared" si="3"/>
        <v>1.3959390862944288E-2</v>
      </c>
    </row>
    <row r="32" spans="1:31" ht="15.75" thickBot="1" x14ac:dyDescent="0.3">
      <c r="A32" s="353" t="s">
        <v>197</v>
      </c>
      <c r="B32" s="504"/>
      <c r="C32" s="355">
        <f>SumByColor($A$32, C2:C30)</f>
        <v>2400</v>
      </c>
      <c r="D32" s="355"/>
      <c r="E32" s="355"/>
      <c r="F32" s="356">
        <f>SumByColor($A$32, F2:F30)</f>
        <v>37839</v>
      </c>
      <c r="G32" s="355"/>
      <c r="H32" s="355">
        <f>SumByColor($A$32, H2:H30)</f>
        <v>2400</v>
      </c>
      <c r="I32" s="355"/>
      <c r="J32" s="356"/>
      <c r="K32" s="356">
        <f>SumByColor($A$32, K2:K30)</f>
        <v>38128</v>
      </c>
      <c r="L32" s="355"/>
      <c r="M32" s="356">
        <f>SumByColor($A$32, M2:M30)</f>
        <v>330</v>
      </c>
      <c r="Q32" s="2"/>
      <c r="W32" s="132">
        <v>42788</v>
      </c>
      <c r="X32" s="10">
        <v>16.2</v>
      </c>
      <c r="Y32" s="10">
        <v>16.260000000000002</v>
      </c>
      <c r="Z32" s="10">
        <v>15.73</v>
      </c>
      <c r="AA32" s="10">
        <v>15.76</v>
      </c>
      <c r="AB32" s="94">
        <v>14447000</v>
      </c>
      <c r="AC32" s="10">
        <v>15.76</v>
      </c>
      <c r="AE32" s="137">
        <f t="shared" si="3"/>
        <v>-3.7851037851037828E-2</v>
      </c>
    </row>
    <row r="33" spans="1:31" x14ac:dyDescent="0.25">
      <c r="W33" s="132">
        <v>42787</v>
      </c>
      <c r="X33" s="10">
        <v>16.420000000000002</v>
      </c>
      <c r="Y33" s="10">
        <v>16.64</v>
      </c>
      <c r="Z33" s="10">
        <v>16.32</v>
      </c>
      <c r="AA33" s="10">
        <v>16.38</v>
      </c>
      <c r="AB33" s="94">
        <v>13186100</v>
      </c>
      <c r="AC33" s="10">
        <v>16.38</v>
      </c>
      <c r="AE33" s="137">
        <f t="shared" si="3"/>
        <v>9.2421441774490631E-3</v>
      </c>
    </row>
    <row r="34" spans="1:31" x14ac:dyDescent="0.25">
      <c r="W34" s="132">
        <v>42783</v>
      </c>
      <c r="X34" s="10">
        <v>16.05</v>
      </c>
      <c r="Y34" s="10">
        <v>16.260000000000002</v>
      </c>
      <c r="Z34" s="10">
        <v>15.93</v>
      </c>
      <c r="AA34" s="10">
        <v>16.23</v>
      </c>
      <c r="AB34" s="94">
        <v>13785700</v>
      </c>
      <c r="AC34" s="10">
        <v>16.23</v>
      </c>
      <c r="AE34" s="137">
        <f t="shared" si="3"/>
        <v>3.7105751391464104E-3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540</v>
      </c>
      <c r="K35" s="228" t="s">
        <v>151</v>
      </c>
      <c r="W35" s="132">
        <v>42782</v>
      </c>
      <c r="X35" s="10">
        <v>16.600000000000001</v>
      </c>
      <c r="Y35" s="10">
        <v>17.05</v>
      </c>
      <c r="Z35" s="10">
        <v>16.13</v>
      </c>
      <c r="AA35" s="10">
        <v>16.170000000000002</v>
      </c>
      <c r="AB35" s="94">
        <v>23847500</v>
      </c>
      <c r="AC35" s="10">
        <v>16.170000000000002</v>
      </c>
      <c r="AE35" s="137">
        <f t="shared" si="3"/>
        <v>-7.9754601226993405E-3</v>
      </c>
    </row>
    <row r="36" spans="1:31" x14ac:dyDescent="0.25">
      <c r="A36" t="s">
        <v>461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42781</v>
      </c>
      <c r="X36" s="10">
        <v>16.39</v>
      </c>
      <c r="Y36" s="10">
        <v>16.57</v>
      </c>
      <c r="Z36" s="10">
        <v>16.190000000000001</v>
      </c>
      <c r="AA36" s="10">
        <v>16.3</v>
      </c>
      <c r="AB36" s="94">
        <v>13152600</v>
      </c>
      <c r="AC36" s="10">
        <v>16.3</v>
      </c>
      <c r="AE36" s="137">
        <f t="shared" si="3"/>
        <v>-6.7032297379646666E-3</v>
      </c>
    </row>
    <row r="37" spans="1:31" x14ac:dyDescent="0.25">
      <c r="A37" t="s">
        <v>474</v>
      </c>
      <c r="B37" s="156">
        <v>42788</v>
      </c>
      <c r="C37" s="444">
        <v>6000</v>
      </c>
      <c r="D37" s="68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42780</v>
      </c>
      <c r="X37" s="10">
        <v>16.16</v>
      </c>
      <c r="Y37" s="10">
        <v>16.43</v>
      </c>
      <c r="Z37" s="10">
        <v>15.97</v>
      </c>
      <c r="AA37" s="10">
        <v>16.41</v>
      </c>
      <c r="AB37" s="94">
        <v>11078300</v>
      </c>
      <c r="AC37" s="10">
        <v>16.41</v>
      </c>
      <c r="AE37" s="137">
        <f t="shared" si="3"/>
        <v>2.1793275217932839E-2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42779</v>
      </c>
      <c r="X38" s="10">
        <v>16.079999999999998</v>
      </c>
      <c r="Y38" s="10">
        <v>16.14</v>
      </c>
      <c r="Z38" s="10">
        <v>15.79</v>
      </c>
      <c r="AA38" s="10">
        <v>16.059999999999999</v>
      </c>
      <c r="AB38" s="94">
        <v>14778800</v>
      </c>
      <c r="AC38" s="10">
        <v>16.059999999999999</v>
      </c>
      <c r="AE38" s="137" t="e">
        <f t="shared" si="3"/>
        <v>#DIV/0!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42779</v>
      </c>
      <c r="X39" s="10" t="s">
        <v>380</v>
      </c>
      <c r="Y39" s="10"/>
      <c r="Z39" s="10"/>
      <c r="AA39" s="10"/>
      <c r="AB39" s="94"/>
      <c r="AC39" s="10"/>
      <c r="AE39" s="137">
        <f t="shared" si="3"/>
        <v>-1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42776</v>
      </c>
      <c r="X40" s="10">
        <v>16.38</v>
      </c>
      <c r="Y40" s="10">
        <v>16.399999999999999</v>
      </c>
      <c r="Z40" s="10">
        <v>16.05</v>
      </c>
      <c r="AA40" s="10">
        <v>16.190000000000001</v>
      </c>
      <c r="AB40" s="94">
        <v>11992600</v>
      </c>
      <c r="AC40" s="10">
        <v>16.14</v>
      </c>
      <c r="AE40" s="137">
        <f t="shared" si="3"/>
        <v>8.7500000000000355E-3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3" t="s">
        <v>78</v>
      </c>
      <c r="P41" s="703"/>
      <c r="W41" s="132">
        <v>42775</v>
      </c>
      <c r="X41" s="10">
        <v>15.88</v>
      </c>
      <c r="Y41" s="10">
        <v>16.23</v>
      </c>
      <c r="Z41" s="10">
        <v>15.88</v>
      </c>
      <c r="AA41" s="10">
        <v>16.05</v>
      </c>
      <c r="AB41" s="94">
        <v>8911600</v>
      </c>
      <c r="AC41" s="10">
        <v>16</v>
      </c>
      <c r="AE41" s="137">
        <f t="shared" si="3"/>
        <v>1.073910296904601E-2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19.2028</v>
      </c>
      <c r="T42" s="133" t="s">
        <v>92</v>
      </c>
      <c r="W42" s="132">
        <v>42774</v>
      </c>
      <c r="X42" s="10">
        <v>15.86</v>
      </c>
      <c r="Y42" s="10">
        <v>16.239999999999998</v>
      </c>
      <c r="Z42" s="10">
        <v>15.63</v>
      </c>
      <c r="AA42" s="10">
        <v>15.88</v>
      </c>
      <c r="AB42" s="94">
        <v>13282300</v>
      </c>
      <c r="AC42" s="10">
        <v>15.83</v>
      </c>
      <c r="AE42" s="137">
        <f t="shared" si="3"/>
        <v>-9.386733416770987E-3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19.045400000000001</v>
      </c>
      <c r="T43" s="134" t="s">
        <v>98</v>
      </c>
      <c r="U43" s="128">
        <v>16.14</v>
      </c>
      <c r="W43" s="132">
        <v>42773</v>
      </c>
      <c r="X43" s="10">
        <v>16.39</v>
      </c>
      <c r="Y43" s="10">
        <v>16.43</v>
      </c>
      <c r="Z43" s="10">
        <v>15.75</v>
      </c>
      <c r="AA43" s="10">
        <v>16.03</v>
      </c>
      <c r="AB43" s="94">
        <v>14647800</v>
      </c>
      <c r="AC43" s="10">
        <v>15.98</v>
      </c>
      <c r="AE43" s="137">
        <f t="shared" si="3"/>
        <v>-2.9751062537947681E-2</v>
      </c>
    </row>
    <row r="44" spans="1:31" x14ac:dyDescent="0.25">
      <c r="A44">
        <v>4200</v>
      </c>
      <c r="B44" s="156">
        <v>42805</v>
      </c>
      <c r="C44" s="444">
        <v>6000</v>
      </c>
      <c r="D44" s="68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18.887999999999998</v>
      </c>
      <c r="T44" s="135" t="s">
        <v>99</v>
      </c>
      <c r="U44" s="129">
        <v>16.309999999999999</v>
      </c>
      <c r="W44" s="132">
        <v>42772</v>
      </c>
      <c r="X44" s="10">
        <v>17.25</v>
      </c>
      <c r="Y44" s="10">
        <v>17.25</v>
      </c>
      <c r="Z44" s="10">
        <v>16.46</v>
      </c>
      <c r="AA44" s="10">
        <v>16.52</v>
      </c>
      <c r="AB44" s="94">
        <v>9566000</v>
      </c>
      <c r="AC44" s="10">
        <v>16.47</v>
      </c>
      <c r="AE44" s="137">
        <f t="shared" si="3"/>
        <v>-4.1327124563445894E-2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18.730599999999999</v>
      </c>
      <c r="T45" s="135" t="s">
        <v>100</v>
      </c>
      <c r="U45" s="129" t="s">
        <v>129</v>
      </c>
      <c r="W45" s="132">
        <v>42769</v>
      </c>
      <c r="X45" s="10">
        <v>16.7</v>
      </c>
      <c r="Y45" s="10">
        <v>17.36</v>
      </c>
      <c r="Z45" s="10">
        <v>16.66</v>
      </c>
      <c r="AA45" s="10">
        <v>17.23</v>
      </c>
      <c r="AB45" s="94">
        <v>12758600</v>
      </c>
      <c r="AC45" s="10">
        <v>17.18</v>
      </c>
      <c r="AE45" s="137">
        <f t="shared" si="3"/>
        <v>3.3072760072158758E-2</v>
      </c>
    </row>
    <row r="46" spans="1:31" x14ac:dyDescent="0.25">
      <c r="A46">
        <v>3700</v>
      </c>
      <c r="B46" s="156">
        <v>42808</v>
      </c>
      <c r="C46" s="444">
        <v>6000</v>
      </c>
      <c r="D46" s="682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18.5732</v>
      </c>
      <c r="T46" s="135" t="s">
        <v>101</v>
      </c>
      <c r="U46" s="129" t="s">
        <v>129</v>
      </c>
      <c r="W46" s="132">
        <v>42768</v>
      </c>
      <c r="X46" s="10">
        <v>16.64</v>
      </c>
      <c r="Y46" s="10">
        <v>16.77</v>
      </c>
      <c r="Z46" s="10">
        <v>16.29</v>
      </c>
      <c r="AA46" s="10">
        <v>16.68</v>
      </c>
      <c r="AB46" s="94">
        <v>9235800</v>
      </c>
      <c r="AC46" s="10">
        <v>16.63</v>
      </c>
      <c r="AE46" s="137">
        <f t="shared" si="3"/>
        <v>5.4413542926239344E-3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18.415800000000001</v>
      </c>
      <c r="T47" s="135" t="s">
        <v>102</v>
      </c>
      <c r="U47" s="129">
        <v>20.69</v>
      </c>
      <c r="W47" s="132">
        <v>42767</v>
      </c>
      <c r="X47" s="10">
        <v>17.03</v>
      </c>
      <c r="Y47" s="10">
        <v>17.12</v>
      </c>
      <c r="Z47" s="10">
        <v>16.23</v>
      </c>
      <c r="AA47" s="10">
        <v>16.59</v>
      </c>
      <c r="AB47" s="94">
        <v>11449100</v>
      </c>
      <c r="AC47" s="10">
        <v>16.54</v>
      </c>
      <c r="AE47" s="137">
        <f t="shared" si="3"/>
        <v>-9.5808383233533245E-3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18.258399999999998</v>
      </c>
      <c r="T48" s="135" t="s">
        <v>103</v>
      </c>
      <c r="U48" s="129">
        <v>2.7581099999999998</v>
      </c>
      <c r="W48" s="132">
        <v>42766</v>
      </c>
      <c r="X48" s="10">
        <v>16.55</v>
      </c>
      <c r="Y48" s="10">
        <v>16.75</v>
      </c>
      <c r="Z48" s="10">
        <v>16.28</v>
      </c>
      <c r="AA48" s="10">
        <v>16.75</v>
      </c>
      <c r="AB48" s="94">
        <v>10892700</v>
      </c>
      <c r="AC48" s="10">
        <v>16.7</v>
      </c>
      <c r="AE48" s="137">
        <f t="shared" si="3"/>
        <v>1.3349514563106624E-2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18.100999999999999</v>
      </c>
      <c r="T49" s="135" t="s">
        <v>122</v>
      </c>
      <c r="U49" s="129" t="s">
        <v>452</v>
      </c>
      <c r="W49" s="132">
        <v>42765</v>
      </c>
      <c r="X49" s="10">
        <v>17.27</v>
      </c>
      <c r="Y49" s="10">
        <v>17.34</v>
      </c>
      <c r="Z49" s="10">
        <v>16.36</v>
      </c>
      <c r="AA49" s="10">
        <v>16.53</v>
      </c>
      <c r="AB49" s="94">
        <v>13623400</v>
      </c>
      <c r="AC49" s="10">
        <v>16.48</v>
      </c>
      <c r="AE49" s="137">
        <f t="shared" si="3"/>
        <v>-5.0691244239631228E-2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17.9436</v>
      </c>
      <c r="T50" s="135"/>
      <c r="U50" s="129"/>
      <c r="W50" s="132">
        <v>42762</v>
      </c>
      <c r="X50" s="10">
        <v>17.68</v>
      </c>
      <c r="Y50" s="10">
        <v>17.7</v>
      </c>
      <c r="Z50" s="10">
        <v>17.28</v>
      </c>
      <c r="AA50" s="10">
        <v>17.41</v>
      </c>
      <c r="AB50" s="94">
        <v>6444500</v>
      </c>
      <c r="AC50" s="10">
        <v>17.36</v>
      </c>
      <c r="AE50" s="137">
        <f t="shared" si="3"/>
        <v>-1.9209039548022555E-2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17.786199999999997</v>
      </c>
      <c r="T51" s="135" t="s">
        <v>105</v>
      </c>
      <c r="U51" s="129" t="s">
        <v>671</v>
      </c>
      <c r="W51" s="132">
        <v>42761</v>
      </c>
      <c r="X51" s="10">
        <v>17.8</v>
      </c>
      <c r="Y51" s="10">
        <v>17.93</v>
      </c>
      <c r="Z51" s="10">
        <v>17.64</v>
      </c>
      <c r="AA51" s="10">
        <v>17.75</v>
      </c>
      <c r="AB51" s="94">
        <v>6978400</v>
      </c>
      <c r="AC51" s="10">
        <v>17.7</v>
      </c>
      <c r="AE51" s="137">
        <f t="shared" si="3"/>
        <v>0</v>
      </c>
    </row>
    <row r="52" spans="1:31" x14ac:dyDescent="0.25">
      <c r="A52">
        <v>3900</v>
      </c>
      <c r="B52" s="156">
        <v>42823</v>
      </c>
      <c r="C52" s="444">
        <v>6000</v>
      </c>
      <c r="D52" s="682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17.628800000000002</v>
      </c>
      <c r="T52" s="135" t="s">
        <v>106</v>
      </c>
      <c r="U52" s="129" t="s">
        <v>672</v>
      </c>
      <c r="W52" s="132">
        <v>42760</v>
      </c>
      <c r="X52" s="10">
        <v>17.690000000000001</v>
      </c>
      <c r="Y52" s="10">
        <v>17.88</v>
      </c>
      <c r="Z52" s="10">
        <v>17.670000000000002</v>
      </c>
      <c r="AA52" s="10">
        <v>17.75</v>
      </c>
      <c r="AB52" s="94">
        <v>8053500</v>
      </c>
      <c r="AC52" s="10">
        <v>17.7</v>
      </c>
      <c r="AE52" s="137">
        <f t="shared" si="3"/>
        <v>2.8328611898016387E-3</v>
      </c>
    </row>
    <row r="53" spans="1:31" ht="15" customHeight="1" x14ac:dyDescent="0.25">
      <c r="A53">
        <v>4100</v>
      </c>
      <c r="B53" s="156">
        <v>42830</v>
      </c>
      <c r="C53" s="444">
        <v>6000</v>
      </c>
      <c r="D53" s="682">
        <v>16.388999999999999</v>
      </c>
      <c r="E53" s="40">
        <v>15.98</v>
      </c>
      <c r="F53" s="40">
        <f t="shared" ref="F53:F54" si="50">C53*(E53-D53)</f>
        <v>-2453.9999999999936</v>
      </c>
      <c r="G53" s="40">
        <f t="shared" ref="G53:G54" si="51">D53*C53</f>
        <v>98334</v>
      </c>
      <c r="H53" s="231">
        <f t="shared" ref="H53:H54" si="52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7"/>
        <v>17.471400000000003</v>
      </c>
      <c r="T53" s="135" t="s">
        <v>107</v>
      </c>
      <c r="U53" s="130">
        <v>19647056</v>
      </c>
      <c r="W53" s="132">
        <v>42759</v>
      </c>
      <c r="X53" s="10">
        <v>17.55</v>
      </c>
      <c r="Y53" s="10">
        <v>17.91</v>
      </c>
      <c r="Z53" s="10">
        <v>17.5</v>
      </c>
      <c r="AA53" s="10">
        <v>17.7</v>
      </c>
      <c r="AB53" s="94">
        <v>8316000</v>
      </c>
      <c r="AC53" s="10">
        <v>17.649999999999999</v>
      </c>
      <c r="AE53" s="137">
        <f t="shared" si="3"/>
        <v>1.6119746689694736E-2</v>
      </c>
    </row>
    <row r="54" spans="1:31" x14ac:dyDescent="0.25">
      <c r="A54">
        <v>4800</v>
      </c>
      <c r="B54" s="156">
        <v>42838</v>
      </c>
      <c r="C54" s="10">
        <v>6200</v>
      </c>
      <c r="D54" s="241">
        <v>16.375</v>
      </c>
      <c r="E54" s="40">
        <v>15.9</v>
      </c>
      <c r="F54" s="40">
        <f t="shared" si="50"/>
        <v>-2944.9999999999977</v>
      </c>
      <c r="G54" s="40">
        <f t="shared" si="51"/>
        <v>101525</v>
      </c>
      <c r="H54" s="230">
        <f t="shared" si="52"/>
        <v>-2.9007633587786238E-2</v>
      </c>
      <c r="I54" s="40"/>
      <c r="J54" s="40"/>
      <c r="K54" s="40">
        <v>11731</v>
      </c>
      <c r="O54" s="82">
        <v>1.1000000000000001</v>
      </c>
      <c r="P54" s="82">
        <f>O54*$Q$4</f>
        <v>17.314</v>
      </c>
      <c r="T54" s="135" t="s">
        <v>110</v>
      </c>
      <c r="U54" s="130">
        <v>12456000</v>
      </c>
      <c r="W54" s="132">
        <v>42758</v>
      </c>
      <c r="X54" s="10">
        <v>17.48</v>
      </c>
      <c r="Y54" s="10">
        <v>17.61</v>
      </c>
      <c r="Z54" s="10">
        <v>17.27</v>
      </c>
      <c r="AA54" s="10">
        <v>17.420000000000002</v>
      </c>
      <c r="AB54" s="94">
        <v>9514800</v>
      </c>
      <c r="AC54" s="10">
        <v>17.37</v>
      </c>
      <c r="AE54" s="137">
        <f t="shared" si="3"/>
        <v>-1.0820045558086466E-2</v>
      </c>
    </row>
    <row r="55" spans="1:31" x14ac:dyDescent="0.25">
      <c r="B55" s="156"/>
      <c r="C55" s="10"/>
      <c r="D55" s="241"/>
      <c r="E55" s="40"/>
      <c r="F55" s="40"/>
      <c r="G55" s="40"/>
      <c r="H55" s="230"/>
      <c r="I55" s="40"/>
      <c r="J55" s="40"/>
      <c r="K55" s="40"/>
      <c r="O55" s="82">
        <v>1.0900000000000001</v>
      </c>
      <c r="P55" s="82">
        <f t="shared" ref="P55:P74" si="53">O55*$Q$4</f>
        <v>17.156600000000001</v>
      </c>
      <c r="T55" s="135" t="s">
        <v>108</v>
      </c>
      <c r="U55" s="129" t="s">
        <v>673</v>
      </c>
      <c r="W55" s="132">
        <v>42755</v>
      </c>
      <c r="X55" s="10">
        <v>17.489999999999998</v>
      </c>
      <c r="Y55" s="10">
        <v>17.75</v>
      </c>
      <c r="Z55" s="10">
        <v>17.420000000000002</v>
      </c>
      <c r="AA55" s="10">
        <v>17.61</v>
      </c>
      <c r="AB55" s="94">
        <v>11179200</v>
      </c>
      <c r="AC55" s="10">
        <v>17.559999999999999</v>
      </c>
      <c r="AE55" s="137">
        <f t="shared" si="3"/>
        <v>1.9744483159117365E-2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3"/>
        <v>16.999200000000002</v>
      </c>
      <c r="T56" s="135" t="s">
        <v>111</v>
      </c>
      <c r="U56" s="129" t="s">
        <v>129</v>
      </c>
      <c r="W56" s="132">
        <v>42754</v>
      </c>
      <c r="X56" s="10">
        <v>17.329999999999998</v>
      </c>
      <c r="Y56" s="10">
        <v>17.510000000000002</v>
      </c>
      <c r="Z56" s="10">
        <v>17.21</v>
      </c>
      <c r="AA56" s="10">
        <v>17.27</v>
      </c>
      <c r="AB56" s="94">
        <v>6267100</v>
      </c>
      <c r="AC56" s="10">
        <v>17.22</v>
      </c>
      <c r="AE56" s="137">
        <f t="shared" si="3"/>
        <v>-3.4722222222223209E-3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3"/>
        <v>16.841800000000003</v>
      </c>
      <c r="T57" s="135" t="s">
        <v>112</v>
      </c>
      <c r="U57" s="129">
        <v>-2.61</v>
      </c>
      <c r="W57" s="132">
        <v>42753</v>
      </c>
      <c r="X57" s="10">
        <v>17.260000000000002</v>
      </c>
      <c r="Y57" s="10">
        <v>17.48</v>
      </c>
      <c r="Z57" s="10">
        <v>17.149999999999999</v>
      </c>
      <c r="AA57" s="10">
        <v>17.329999999999998</v>
      </c>
      <c r="AB57" s="94">
        <v>9286700</v>
      </c>
      <c r="AC57" s="10">
        <v>17.28</v>
      </c>
      <c r="AE57" s="137">
        <f t="shared" si="3"/>
        <v>-6.3254744105807337E-3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3"/>
        <v>16.6844</v>
      </c>
      <c r="T58" s="135" t="s">
        <v>109</v>
      </c>
      <c r="U58" s="129" t="s">
        <v>604</v>
      </c>
      <c r="W58" s="132">
        <v>42752</v>
      </c>
      <c r="X58" s="10">
        <v>17.63</v>
      </c>
      <c r="Y58" s="10">
        <v>17.7</v>
      </c>
      <c r="Z58" s="10">
        <v>17.399999999999999</v>
      </c>
      <c r="AA58" s="10">
        <v>17.440000000000001</v>
      </c>
      <c r="AB58" s="94">
        <v>6865000</v>
      </c>
      <c r="AC58" s="10">
        <v>17.39</v>
      </c>
      <c r="AE58" s="137">
        <f t="shared" si="3"/>
        <v>-5.7471264367803254E-4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3"/>
        <v>16.527000000000001</v>
      </c>
      <c r="W59" s="132">
        <v>42748</v>
      </c>
      <c r="X59" s="10">
        <v>17.329999999999998</v>
      </c>
      <c r="Y59" s="10">
        <v>17.489999999999998</v>
      </c>
      <c r="Z59" s="10">
        <v>17.239999999999998</v>
      </c>
      <c r="AA59" s="10">
        <v>17.45</v>
      </c>
      <c r="AB59" s="94">
        <v>5406800</v>
      </c>
      <c r="AC59" s="10">
        <v>17.399999999999999</v>
      </c>
      <c r="AE59" s="137">
        <f t="shared" si="3"/>
        <v>5.7504312823453141E-4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3"/>
        <v>16.369600000000002</v>
      </c>
      <c r="W60" s="132">
        <v>42747</v>
      </c>
      <c r="X60" s="10">
        <v>18.03</v>
      </c>
      <c r="Y60" s="10">
        <v>18.100000000000001</v>
      </c>
      <c r="Z60" s="10">
        <v>17.329999999999998</v>
      </c>
      <c r="AA60" s="10">
        <v>17.440000000000001</v>
      </c>
      <c r="AB60" s="94">
        <v>10282400</v>
      </c>
      <c r="AC60" s="10">
        <v>17.39</v>
      </c>
      <c r="AE60" s="137">
        <f t="shared" si="3"/>
        <v>-1.4172335600907027E-2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3"/>
        <v>16.212199999999999</v>
      </c>
      <c r="W61" s="132">
        <v>42746</v>
      </c>
      <c r="X61" s="10">
        <v>17.559999999999999</v>
      </c>
      <c r="Y61" s="10">
        <v>17.760000000000002</v>
      </c>
      <c r="Z61" s="10">
        <v>17.47</v>
      </c>
      <c r="AA61" s="10">
        <v>17.690000000000001</v>
      </c>
      <c r="AB61" s="94">
        <v>9787400</v>
      </c>
      <c r="AC61" s="10">
        <v>17.64</v>
      </c>
      <c r="AE61" s="137">
        <f t="shared" si="3"/>
        <v>1.2048192771084487E-2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3"/>
        <v>16.0548</v>
      </c>
      <c r="W62" s="132">
        <v>42745</v>
      </c>
      <c r="X62" s="10">
        <v>17.5</v>
      </c>
      <c r="Y62" s="10">
        <v>17.579999999999998</v>
      </c>
      <c r="Z62" s="10">
        <v>17.350000000000001</v>
      </c>
      <c r="AA62" s="10">
        <v>17.48</v>
      </c>
      <c r="AB62" s="94">
        <v>6969500</v>
      </c>
      <c r="AC62" s="10">
        <v>17.43</v>
      </c>
      <c r="AE62" s="137">
        <f t="shared" si="3"/>
        <v>4.610951008645392E-3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3"/>
        <v>15.897400000000001</v>
      </c>
      <c r="W63" s="132">
        <v>42744</v>
      </c>
      <c r="X63" s="10">
        <v>17.64</v>
      </c>
      <c r="Y63" s="10">
        <v>17.75</v>
      </c>
      <c r="Z63" s="10">
        <v>17.399999999999999</v>
      </c>
      <c r="AA63" s="10">
        <v>17.399999999999999</v>
      </c>
      <c r="AB63" s="94">
        <v>8839500</v>
      </c>
      <c r="AC63" s="10">
        <v>17.350000000000001</v>
      </c>
      <c r="AE63" s="137">
        <f t="shared" si="3"/>
        <v>-2.6374859708192977E-2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3"/>
        <v>15.74</v>
      </c>
      <c r="W64" s="132">
        <v>42741</v>
      </c>
      <c r="X64" s="10">
        <v>18.170000000000002</v>
      </c>
      <c r="Y64" s="10">
        <v>18.170000000000002</v>
      </c>
      <c r="Z64" s="10">
        <v>17.829999999999998</v>
      </c>
      <c r="AA64" s="10">
        <v>17.88</v>
      </c>
      <c r="AB64" s="94">
        <v>7807800</v>
      </c>
      <c r="AC64" s="10">
        <v>17.82</v>
      </c>
      <c r="AE64" s="137">
        <f t="shared" si="3"/>
        <v>-1.6556291390728561E-2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3"/>
        <v>15.582599999999999</v>
      </c>
      <c r="W65" s="132">
        <v>42740</v>
      </c>
      <c r="X65" s="10">
        <v>18.100000000000001</v>
      </c>
      <c r="Y65" s="10">
        <v>18.27</v>
      </c>
      <c r="Z65" s="10">
        <v>17.88</v>
      </c>
      <c r="AA65" s="10">
        <v>18.18</v>
      </c>
      <c r="AB65" s="94">
        <v>9764700</v>
      </c>
      <c r="AC65" s="10">
        <v>18.12</v>
      </c>
      <c r="AE65" s="137">
        <f t="shared" si="3"/>
        <v>7.2262367982214304E-3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3"/>
        <v>15.4252</v>
      </c>
      <c r="W66" s="132">
        <v>42739</v>
      </c>
      <c r="X66" s="10">
        <v>17.71</v>
      </c>
      <c r="Y66" s="10">
        <v>18.09</v>
      </c>
      <c r="Z66" s="10">
        <v>17.54</v>
      </c>
      <c r="AA66" s="10">
        <v>18.05</v>
      </c>
      <c r="AB66" s="94">
        <v>9323100</v>
      </c>
      <c r="AC66" s="10">
        <v>17.989999999999998</v>
      </c>
      <c r="AE66" s="137">
        <f t="shared" si="3"/>
        <v>1.5810276679841806E-2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3"/>
        <v>15.267799999999999</v>
      </c>
      <c r="W67" s="132">
        <v>42738</v>
      </c>
      <c r="X67" s="10">
        <v>17.739999999999998</v>
      </c>
      <c r="Y67" s="10">
        <v>18.059999999999999</v>
      </c>
      <c r="Z67" s="10">
        <v>17.29</v>
      </c>
      <c r="AA67" s="10">
        <v>17.760000000000002</v>
      </c>
      <c r="AB67" s="94">
        <v>13526000</v>
      </c>
      <c r="AC67" s="10">
        <v>17.71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3"/>
        <v>15.1104</v>
      </c>
      <c r="W68" s="132">
        <v>42734</v>
      </c>
      <c r="X68" s="10">
        <v>17.57</v>
      </c>
      <c r="Y68" s="10">
        <v>17.82</v>
      </c>
      <c r="Z68" s="10">
        <v>17.21</v>
      </c>
      <c r="AA68" s="10">
        <v>17.309999999999999</v>
      </c>
      <c r="AB68" s="94">
        <v>7920500</v>
      </c>
      <c r="AC68" s="10">
        <v>17.260000000000002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3"/>
        <v>14.952999999999999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3"/>
        <v>14.795599999999999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3"/>
        <v>14.638200000000001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4">IF(C72=0, 0,D72*C72)</f>
        <v>68120</v>
      </c>
      <c r="H72" s="381">
        <f t="shared" ref="H72:H78" si="55">IF(C72=0, D72, (E72-D72)/D72)</f>
        <v>-0.48091603053435117</v>
      </c>
      <c r="I72" s="379"/>
      <c r="O72" s="82">
        <v>0.92</v>
      </c>
      <c r="P72" s="82">
        <f t="shared" si="53"/>
        <v>14.4808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4"/>
        <v>0</v>
      </c>
      <c r="H73" s="381" t="str">
        <f t="shared" si="55"/>
        <v>N/A</v>
      </c>
      <c r="I73" s="379"/>
      <c r="O73" s="82">
        <v>0.91</v>
      </c>
      <c r="P73" s="82">
        <f t="shared" si="53"/>
        <v>14.323400000000001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4"/>
        <v>0</v>
      </c>
      <c r="H74" s="381" t="str">
        <f t="shared" si="55"/>
        <v>N/A</v>
      </c>
      <c r="I74" s="379"/>
      <c r="O74" s="82">
        <v>0.9</v>
      </c>
      <c r="P74" s="82">
        <f t="shared" si="53"/>
        <v>14.166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4"/>
        <v>75600</v>
      </c>
      <c r="H75" s="381">
        <f t="shared" si="55"/>
        <v>-0.39517195767195767</v>
      </c>
      <c r="I75" s="379"/>
      <c r="O75" s="82">
        <v>0.89</v>
      </c>
      <c r="P75" s="82">
        <f>O75*$Q$4</f>
        <v>14.008600000000001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4"/>
        <v>0</v>
      </c>
      <c r="H76" s="381" t="str">
        <f t="shared" si="55"/>
        <v>N/A</v>
      </c>
      <c r="I76" s="379"/>
      <c r="O76" s="82">
        <v>0.88</v>
      </c>
      <c r="P76" s="82">
        <f>O76*$Q$4</f>
        <v>13.8512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4"/>
        <v>82367.28</v>
      </c>
      <c r="H77" s="381">
        <f t="shared" si="55"/>
        <v>-0.34828101644245141</v>
      </c>
      <c r="I77" s="379"/>
      <c r="O77" s="82">
        <v>0.87</v>
      </c>
      <c r="P77" s="82">
        <f>O77*$Q$4</f>
        <v>13.6938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4"/>
        <v>0</v>
      </c>
      <c r="H78" s="381" t="str">
        <f t="shared" si="55"/>
        <v>N/A</v>
      </c>
      <c r="I78" s="379"/>
      <c r="O78" s="82">
        <v>0.86</v>
      </c>
      <c r="P78" s="82">
        <f>O78*$Q$4</f>
        <v>13.5364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13.379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6">C80*(E80-D80)</f>
        <v>-29017.579999999998</v>
      </c>
      <c r="G80" s="379">
        <f t="shared" ref="G80:G109" si="57">D80*C80</f>
        <v>91417.900000000009</v>
      </c>
      <c r="H80" s="380">
        <f t="shared" ref="H80:H109" si="58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6"/>
        <v>-31836.35999999999</v>
      </c>
      <c r="G81" s="379">
        <f t="shared" si="57"/>
        <v>101483.62</v>
      </c>
      <c r="H81" s="380">
        <f t="shared" si="58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6"/>
        <v>-34009.06</v>
      </c>
      <c r="G82" s="379">
        <f t="shared" si="57"/>
        <v>109418.42</v>
      </c>
      <c r="H82" s="380">
        <f t="shared" si="58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6"/>
        <v>-34008.920000000006</v>
      </c>
      <c r="G83" s="379">
        <f t="shared" si="57"/>
        <v>101358.28000000001</v>
      </c>
      <c r="H83" s="380">
        <f t="shared" si="58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6"/>
        <v>-39575.879999999997</v>
      </c>
      <c r="G84" s="379">
        <f t="shared" si="57"/>
        <v>108716.71999999999</v>
      </c>
      <c r="H84" s="380">
        <f t="shared" si="58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6"/>
        <v>-38892.919999999991</v>
      </c>
      <c r="G85" s="379">
        <f t="shared" si="57"/>
        <v>110180.68</v>
      </c>
      <c r="H85" s="380">
        <f t="shared" si="58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6"/>
        <v>-39649.22</v>
      </c>
      <c r="G86" s="379">
        <f t="shared" si="57"/>
        <v>101232.94</v>
      </c>
      <c r="H86" s="380">
        <f t="shared" si="58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6"/>
        <v>-41303.94</v>
      </c>
      <c r="G87" s="379">
        <f t="shared" si="57"/>
        <v>94046.46</v>
      </c>
      <c r="H87" s="380">
        <f t="shared" si="58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6"/>
        <v>-42699.159999999996</v>
      </c>
      <c r="G88" s="379">
        <f t="shared" si="57"/>
        <v>101024.04</v>
      </c>
      <c r="H88" s="380">
        <f t="shared" si="58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6"/>
        <v>-47715.600000000006</v>
      </c>
      <c r="G89" s="379">
        <f t="shared" si="57"/>
        <v>107500.44</v>
      </c>
      <c r="H89" s="380">
        <f t="shared" si="58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6"/>
        <v>-46809.119999999995</v>
      </c>
      <c r="G90" s="379">
        <f t="shared" si="57"/>
        <v>113864.21999999999</v>
      </c>
      <c r="H90" s="380">
        <f t="shared" si="58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6"/>
        <v>-47694.16</v>
      </c>
      <c r="G91" s="379">
        <f t="shared" si="57"/>
        <v>126525.44</v>
      </c>
      <c r="H91" s="380">
        <f t="shared" si="58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6"/>
        <v>-48128</v>
      </c>
      <c r="G92" s="379">
        <f t="shared" si="57"/>
        <v>129280</v>
      </c>
      <c r="H92" s="380">
        <f t="shared" si="58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6"/>
        <v>-48155.4</v>
      </c>
      <c r="G93" s="379">
        <f t="shared" si="57"/>
        <v>113708.88</v>
      </c>
      <c r="H93" s="380">
        <f t="shared" si="58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6"/>
        <v>-42239.579999999994</v>
      </c>
      <c r="G94" s="379">
        <f t="shared" si="57"/>
        <v>100564.46</v>
      </c>
      <c r="H94" s="380">
        <f t="shared" si="58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6"/>
        <v>-42072.46</v>
      </c>
      <c r="G95" s="379">
        <f t="shared" si="57"/>
        <v>100397.34000000001</v>
      </c>
      <c r="H95" s="380">
        <f t="shared" si="58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6"/>
        <v>-45543.96</v>
      </c>
      <c r="G96" s="379">
        <f t="shared" si="57"/>
        <v>132958.98000000001</v>
      </c>
      <c r="H96" s="380">
        <f t="shared" si="58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6"/>
        <v>-45906.62000000001</v>
      </c>
      <c r="G97" s="379">
        <f t="shared" si="57"/>
        <v>158980.96</v>
      </c>
      <c r="H97" s="380">
        <f t="shared" si="58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6"/>
        <v>-51777.299999999996</v>
      </c>
      <c r="G98" s="379">
        <f t="shared" si="57"/>
        <v>171590.94</v>
      </c>
      <c r="H98" s="381">
        <f t="shared" si="58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6"/>
        <v>-49664.193999999989</v>
      </c>
      <c r="G99" s="379">
        <f t="shared" si="57"/>
        <v>158920.21399999998</v>
      </c>
      <c r="H99" s="381">
        <f t="shared" si="58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6"/>
        <v>-47987.500000000015</v>
      </c>
      <c r="G100" s="379">
        <f t="shared" si="57"/>
        <v>145958.78</v>
      </c>
      <c r="H100" s="381">
        <f t="shared" si="58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6"/>
        <v>-47702.966000000015</v>
      </c>
      <c r="G101" s="379">
        <f t="shared" si="57"/>
        <v>158434.24600000001</v>
      </c>
      <c r="H101" s="381">
        <f t="shared" si="58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6"/>
        <v>-60971.399999999987</v>
      </c>
      <c r="G102" s="379">
        <f t="shared" si="57"/>
        <v>170139.24</v>
      </c>
      <c r="H102" s="381">
        <f t="shared" si="58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6"/>
        <v>-77656.859999999986</v>
      </c>
      <c r="G103" s="379">
        <f t="shared" si="57"/>
        <v>166354.54</v>
      </c>
      <c r="H103" s="381">
        <f t="shared" si="58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6"/>
        <v>-85359.959999999992</v>
      </c>
      <c r="G104" s="379">
        <f t="shared" si="57"/>
        <v>169945.68</v>
      </c>
      <c r="H104" s="381">
        <f t="shared" si="58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6"/>
        <v>-100883.47199999999</v>
      </c>
      <c r="G105" s="379">
        <f t="shared" si="57"/>
        <v>169887.61199999999</v>
      </c>
      <c r="H105" s="380">
        <f t="shared" si="58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6"/>
        <v>-97651.02</v>
      </c>
      <c r="G106" s="379">
        <f t="shared" si="57"/>
        <v>169848.9</v>
      </c>
      <c r="H106" s="380">
        <f t="shared" si="58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6"/>
        <v>-97231.731999999989</v>
      </c>
      <c r="G107" s="379">
        <f t="shared" si="57"/>
        <v>165974.95199999999</v>
      </c>
      <c r="H107" s="380">
        <f t="shared" si="58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6"/>
        <v>-97234.865999999995</v>
      </c>
      <c r="G108" s="379">
        <f t="shared" si="57"/>
        <v>169723.08599999998</v>
      </c>
      <c r="H108" s="380">
        <f t="shared" si="58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6"/>
        <v>-104373.632</v>
      </c>
      <c r="G109" s="379">
        <f t="shared" si="57"/>
        <v>197776.17199999999</v>
      </c>
      <c r="H109" s="380">
        <f t="shared" si="58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6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6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9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9"/>
        <v>-94166.28</v>
      </c>
      <c r="G113" s="379">
        <f t="shared" ref="G113:G120" si="60">IF(C113=0, 0,D113*C113)</f>
        <v>165387.56</v>
      </c>
      <c r="H113" s="380">
        <f t="shared" ref="H113:H120" si="61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9"/>
        <v>-91969.787999999986</v>
      </c>
      <c r="G114" s="379">
        <f t="shared" si="60"/>
        <v>157393.788</v>
      </c>
      <c r="H114" s="380">
        <f t="shared" si="61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9"/>
        <v>-91154.7</v>
      </c>
      <c r="G115" s="379">
        <f t="shared" si="60"/>
        <v>145246.5</v>
      </c>
      <c r="H115" s="380">
        <f t="shared" si="61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9"/>
        <v>-92238.461999999985</v>
      </c>
      <c r="G116" s="379">
        <f t="shared" si="60"/>
        <v>161141.78199999998</v>
      </c>
      <c r="H116" s="380">
        <f t="shared" si="61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9"/>
        <v>-89571.54800000001</v>
      </c>
      <c r="G117" s="379">
        <f t="shared" si="60"/>
        <v>152607.92800000001</v>
      </c>
      <c r="H117" s="380">
        <f t="shared" si="61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9"/>
        <v>-89550.534</v>
      </c>
      <c r="G118" s="379">
        <f t="shared" si="60"/>
        <v>169006.91400000002</v>
      </c>
      <c r="H118" s="380">
        <f t="shared" si="61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9"/>
        <v>-89678.238000000012</v>
      </c>
      <c r="G119" s="379">
        <f t="shared" si="60"/>
        <v>165029.61800000002</v>
      </c>
      <c r="H119" s="380">
        <f t="shared" si="61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9"/>
        <v>-89511.821999999986</v>
      </c>
      <c r="G120" s="379">
        <f t="shared" si="60"/>
        <v>168968.20199999999</v>
      </c>
      <c r="H120" s="380">
        <f t="shared" si="61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62">C121*(E121-D121)</f>
        <v>-89632.347999999984</v>
      </c>
      <c r="G121" s="379">
        <f t="shared" ref="G121:G132" si="63">IF(C121=0, 0,D121*C121)</f>
        <v>164983.728</v>
      </c>
      <c r="H121" s="380">
        <f t="shared" ref="H121:H172" si="64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62"/>
        <v>-93372.971999999994</v>
      </c>
      <c r="G122" s="379">
        <f t="shared" si="63"/>
        <v>172761.372</v>
      </c>
      <c r="H122" s="380">
        <f t="shared" si="64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62"/>
        <v>-91747.44</v>
      </c>
      <c r="G123" s="379">
        <f t="shared" si="63"/>
        <v>168784.32</v>
      </c>
      <c r="H123" s="380">
        <f t="shared" si="64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62"/>
        <v>-80757.467999999993</v>
      </c>
      <c r="G124" s="379">
        <f t="shared" si="63"/>
        <v>159727.26799999998</v>
      </c>
      <c r="H124" s="381">
        <f t="shared" si="64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62"/>
        <v>-72386.955999999976</v>
      </c>
      <c r="G125" s="379">
        <f t="shared" si="63"/>
        <v>164888.61599999998</v>
      </c>
      <c r="H125" s="381">
        <f t="shared" si="64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62"/>
        <v>-62830.615999999987</v>
      </c>
      <c r="G126" s="379">
        <f t="shared" si="63"/>
        <v>164888.61599999998</v>
      </c>
      <c r="H126" s="381">
        <f t="shared" si="64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62"/>
        <v>-66133.584000000003</v>
      </c>
      <c r="G127" s="379">
        <f t="shared" si="63"/>
        <v>164387.60399999999</v>
      </c>
      <c r="H127" s="381">
        <f t="shared" si="64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62"/>
        <v>-61160.576000000008</v>
      </c>
      <c r="G128" s="379">
        <f t="shared" si="63"/>
        <v>164331.93599999999</v>
      </c>
      <c r="H128" s="381">
        <f t="shared" si="64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62"/>
        <v>-58033.889999999992</v>
      </c>
      <c r="G129" s="379">
        <f t="shared" si="63"/>
        <v>164266.99</v>
      </c>
      <c r="H129" s="381">
        <f t="shared" si="64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62"/>
        <v>-56328.439999999988</v>
      </c>
      <c r="G130" s="379">
        <f t="shared" si="63"/>
        <v>148531.07999999999</v>
      </c>
      <c r="H130" s="381">
        <f t="shared" si="64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62"/>
        <v>-57894.720000000016</v>
      </c>
      <c r="G131" s="379">
        <f t="shared" si="63"/>
        <v>163942.26</v>
      </c>
      <c r="H131" s="380">
        <f t="shared" si="64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62"/>
        <v>-58904.104000000007</v>
      </c>
      <c r="G132" s="379">
        <f t="shared" si="63"/>
        <v>167796.78400000001</v>
      </c>
      <c r="H132" s="380">
        <f t="shared" si="64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5">C133*(E133-D133)</f>
        <v>-69928.587000000014</v>
      </c>
      <c r="G133" s="379">
        <f t="shared" ref="G133:G172" si="66">IF(C133=0, 0,D133*C133)</f>
        <v>206559.20699999999</v>
      </c>
      <c r="H133" s="380">
        <f t="shared" si="64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5"/>
        <v>-66302.234199999992</v>
      </c>
      <c r="G134" s="379">
        <f t="shared" si="66"/>
        <v>185059.5742</v>
      </c>
      <c r="H134" s="380">
        <f t="shared" si="64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5"/>
        <v>-59729.712599999977</v>
      </c>
      <c r="G135" s="379">
        <f t="shared" si="66"/>
        <v>167542.63259999998</v>
      </c>
      <c r="H135" s="380">
        <f t="shared" si="64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5"/>
        <v>-65233.308000000005</v>
      </c>
      <c r="G136" s="379">
        <f t="shared" si="66"/>
        <v>188202.64799999999</v>
      </c>
      <c r="H136" s="380">
        <f t="shared" si="64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5"/>
        <v>-64902.603600000009</v>
      </c>
      <c r="G137" s="379">
        <f t="shared" si="66"/>
        <v>167102.28360000002</v>
      </c>
      <c r="H137" s="380">
        <f t="shared" si="64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5"/>
        <v>-66452.265800000008</v>
      </c>
      <c r="G138" s="379">
        <f t="shared" si="66"/>
        <v>168143.46580000001</v>
      </c>
      <c r="H138" s="380">
        <f t="shared" si="64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5"/>
        <v>-64191.270599999982</v>
      </c>
      <c r="G139" s="379">
        <f t="shared" si="66"/>
        <v>167068.4106</v>
      </c>
      <c r="H139" s="380">
        <f t="shared" si="64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5"/>
        <v>-53072.044600000016</v>
      </c>
      <c r="G140" s="379">
        <f t="shared" si="66"/>
        <v>155298.88460000002</v>
      </c>
      <c r="H140" s="380">
        <f t="shared" si="64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5"/>
        <v>-54016.789200000007</v>
      </c>
      <c r="G141" s="379">
        <f t="shared" si="66"/>
        <v>166959.04920000001</v>
      </c>
      <c r="H141" s="380">
        <f t="shared" si="64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5"/>
        <v>-40694.080000000002</v>
      </c>
      <c r="G142" s="379">
        <f t="shared" si="66"/>
        <v>148852.48000000001</v>
      </c>
      <c r="H142" s="380">
        <f t="shared" si="64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5"/>
        <v>-41622.116400000006</v>
      </c>
      <c r="G143" s="379">
        <f t="shared" si="66"/>
        <v>161235.47640000001</v>
      </c>
      <c r="H143" s="380">
        <f t="shared" si="64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5"/>
        <v>-39713.673000000003</v>
      </c>
      <c r="G144" s="379">
        <f t="shared" si="66"/>
        <v>166592.253</v>
      </c>
      <c r="H144" s="380">
        <f t="shared" si="64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5"/>
        <v>-39679.2474</v>
      </c>
      <c r="G145" s="379">
        <f t="shared" si="66"/>
        <v>160002.82739999998</v>
      </c>
      <c r="H145" s="380">
        <f t="shared" si="64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5"/>
        <v>-40600.177800000019</v>
      </c>
      <c r="G146" s="379">
        <f t="shared" si="66"/>
        <v>166510.9578</v>
      </c>
      <c r="H146" s="380">
        <f t="shared" si="64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5"/>
        <v>-37192.92720000002</v>
      </c>
      <c r="G147" s="379">
        <f t="shared" si="66"/>
        <v>159811.00720000002</v>
      </c>
      <c r="H147" s="380">
        <f t="shared" si="64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5"/>
        <v>-28198.487200000018</v>
      </c>
      <c r="G148" s="379">
        <f t="shared" si="66"/>
        <v>159811.00720000002</v>
      </c>
      <c r="H148" s="380">
        <f t="shared" si="64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5"/>
        <v>-32939.072999999997</v>
      </c>
      <c r="G149" s="379">
        <f t="shared" si="66"/>
        <v>166785.81299999999</v>
      </c>
      <c r="H149" s="380">
        <f t="shared" si="64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5"/>
        <v>-27080.606799999998</v>
      </c>
      <c r="G150" s="379">
        <f t="shared" si="66"/>
        <v>159610.92679999999</v>
      </c>
      <c r="H150" s="381">
        <f t="shared" si="64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5"/>
        <v>-23278.161400000005</v>
      </c>
      <c r="G151" s="379">
        <f t="shared" si="66"/>
        <v>159479.6814</v>
      </c>
      <c r="H151" s="381">
        <f t="shared" si="64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5"/>
        <v>-27860.058600000004</v>
      </c>
      <c r="G152" s="379">
        <f t="shared" si="66"/>
        <v>166739.35860000001</v>
      </c>
      <c r="H152" s="381">
        <f t="shared" si="64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5"/>
        <v>-29897.277600000016</v>
      </c>
      <c r="G153" s="379">
        <f t="shared" si="66"/>
        <v>166260.29760000002</v>
      </c>
      <c r="H153" s="381">
        <f t="shared" si="64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5"/>
        <v>-34709.179199999977</v>
      </c>
      <c r="G154" s="379">
        <f t="shared" si="66"/>
        <v>165846.07919999998</v>
      </c>
      <c r="H154" s="381">
        <f t="shared" si="64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5"/>
        <v>-41926.063800000004</v>
      </c>
      <c r="G155" s="379">
        <f t="shared" si="66"/>
        <v>165707.6838</v>
      </c>
      <c r="H155" s="381">
        <f t="shared" si="64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5"/>
        <v>-48426.330400000006</v>
      </c>
      <c r="G156" s="379">
        <f t="shared" si="66"/>
        <v>190547.59040000002</v>
      </c>
      <c r="H156" s="381">
        <f t="shared" si="64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5"/>
        <v>-48374.515200000002</v>
      </c>
      <c r="G157" s="379">
        <f t="shared" si="66"/>
        <v>165187.97520000002</v>
      </c>
      <c r="H157" s="380">
        <f t="shared" si="64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5"/>
        <v>-54432.172800000015</v>
      </c>
      <c r="G158" s="379">
        <f t="shared" si="66"/>
        <v>176588.49280000001</v>
      </c>
      <c r="H158" s="380">
        <f t="shared" si="64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5"/>
        <v>-49378.123800000016</v>
      </c>
      <c r="G159" s="379">
        <f t="shared" si="66"/>
        <v>164933.44380000001</v>
      </c>
      <c r="H159" s="380">
        <f t="shared" si="64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5"/>
        <v>-45614.280400000011</v>
      </c>
      <c r="G160" s="379">
        <f t="shared" si="66"/>
        <v>177274.02040000001</v>
      </c>
      <c r="H160" s="380">
        <f t="shared" si="64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5"/>
        <v>-45519.5052</v>
      </c>
      <c r="G161" s="379">
        <f t="shared" si="66"/>
        <v>164849.2452</v>
      </c>
      <c r="H161" s="380">
        <f t="shared" si="64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5"/>
        <v>-45770.165399999983</v>
      </c>
      <c r="G162" s="379">
        <f t="shared" si="66"/>
        <v>164809.56539999999</v>
      </c>
      <c r="H162" s="380">
        <f t="shared" si="64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5"/>
        <v>-41109.240599999997</v>
      </c>
      <c r="G163" s="379">
        <f t="shared" si="66"/>
        <v>164794.08059999999</v>
      </c>
      <c r="H163" s="380">
        <f t="shared" si="64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5"/>
        <v>-37211.283199999991</v>
      </c>
      <c r="G164" s="379">
        <f t="shared" si="66"/>
        <v>158269.10319999998</v>
      </c>
      <c r="H164" s="380">
        <f t="shared" si="64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5"/>
        <v>-38770.067999999999</v>
      </c>
      <c r="G165" s="379">
        <f t="shared" si="66"/>
        <v>164777.628</v>
      </c>
      <c r="H165" s="380">
        <f t="shared" si="64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5"/>
        <v>-33653.890400000018</v>
      </c>
      <c r="G166" s="379">
        <f t="shared" si="66"/>
        <v>157924.0104</v>
      </c>
      <c r="H166" s="380">
        <f t="shared" si="64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5"/>
        <v>-37103.516399999986</v>
      </c>
      <c r="G167" s="379">
        <f t="shared" si="66"/>
        <v>164562.77639999997</v>
      </c>
      <c r="H167" s="380">
        <f t="shared" si="64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5"/>
        <v>-39676.8966</v>
      </c>
      <c r="G168" s="379">
        <f t="shared" si="66"/>
        <v>164523.09660000002</v>
      </c>
      <c r="H168" s="380">
        <f t="shared" si="64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5"/>
        <v>-35572.456799999993</v>
      </c>
      <c r="G169" s="379">
        <f t="shared" si="66"/>
        <v>164483.41680000001</v>
      </c>
      <c r="H169" s="380">
        <f t="shared" si="64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5"/>
        <v>-29514.401999999984</v>
      </c>
      <c r="G170" s="379">
        <f t="shared" si="66"/>
        <v>143679.28200000001</v>
      </c>
      <c r="H170" s="380">
        <f t="shared" si="64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5"/>
        <v>-24105.848799999996</v>
      </c>
      <c r="G171" s="379">
        <f t="shared" si="66"/>
        <v>136358.20879999999</v>
      </c>
      <c r="H171" s="380">
        <f t="shared" si="64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5"/>
        <v>-24823.50120000001</v>
      </c>
      <c r="G172" s="379">
        <f t="shared" si="66"/>
        <v>143649.8412</v>
      </c>
      <c r="H172" s="380">
        <f t="shared" si="64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7">C173*(E173-D173)</f>
        <v>-33713.287800000006</v>
      </c>
      <c r="G173" s="379">
        <f t="shared" ref="G173:G181" si="68">IF(C173=0, 0,D173*C173)</f>
        <v>154198.0478</v>
      </c>
      <c r="H173" s="380">
        <f t="shared" ref="H173:H181" si="69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7"/>
        <v>-34191.285600000003</v>
      </c>
      <c r="G174" s="379">
        <f t="shared" si="68"/>
        <v>158702.04560000001</v>
      </c>
      <c r="H174" s="380">
        <f t="shared" si="69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7"/>
        <v>-33706.974000000009</v>
      </c>
      <c r="G175" s="379">
        <f t="shared" si="68"/>
        <v>158217.734</v>
      </c>
      <c r="H175" s="380">
        <f t="shared" si="69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7"/>
        <v>-35317.9254</v>
      </c>
      <c r="G176" s="379">
        <f t="shared" si="68"/>
        <v>163357.86540000001</v>
      </c>
      <c r="H176" s="380">
        <f t="shared" si="69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7"/>
        <v>-36815.103999999985</v>
      </c>
      <c r="G177" s="379">
        <f t="shared" si="68"/>
        <v>157985.78399999999</v>
      </c>
      <c r="H177" s="380">
        <f t="shared" si="69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7"/>
        <v>-40329.610399999998</v>
      </c>
      <c r="G178" s="379">
        <f t="shared" si="68"/>
        <v>157881.87039999999</v>
      </c>
      <c r="H178" s="380">
        <f t="shared" si="69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7"/>
        <v>-35684.1158</v>
      </c>
      <c r="G179" s="379">
        <f t="shared" si="68"/>
        <v>157782.59580000001</v>
      </c>
      <c r="H179" s="380">
        <f t="shared" si="69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7"/>
        <v>-23709.664000000008</v>
      </c>
      <c r="G180" s="379">
        <f t="shared" si="68"/>
        <v>134887.10400000002</v>
      </c>
      <c r="H180" s="381">
        <f t="shared" si="69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7"/>
        <v>-19054.279999999995</v>
      </c>
      <c r="G181" s="379">
        <f t="shared" si="68"/>
        <v>121666.28</v>
      </c>
      <c r="H181" s="381">
        <f t="shared" si="69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70">C182*(E182-D182)</f>
        <v>-21366.37</v>
      </c>
      <c r="G182" s="379">
        <f t="shared" ref="G182:G190" si="71">IF(C182=0, 0,D182*C182)</f>
        <v>129041.37</v>
      </c>
      <c r="H182" s="381">
        <f t="shared" ref="H182:H190" si="72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70"/>
        <v>-17585.480000000014</v>
      </c>
      <c r="G183" s="379">
        <f t="shared" si="71"/>
        <v>121421.48000000001</v>
      </c>
      <c r="H183" s="381">
        <f t="shared" si="72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70"/>
        <v>-23433.255999999998</v>
      </c>
      <c r="G184" s="379">
        <f t="shared" si="71"/>
        <v>134073.236</v>
      </c>
      <c r="H184" s="381">
        <f t="shared" si="72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70"/>
        <v>-21154.320000000003</v>
      </c>
      <c r="G185" s="379">
        <f t="shared" si="71"/>
        <v>138785.16</v>
      </c>
      <c r="H185" s="381">
        <f t="shared" si="72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70"/>
        <v>-29477.467400000005</v>
      </c>
      <c r="G186" s="379">
        <f t="shared" si="71"/>
        <v>152116.9474</v>
      </c>
      <c r="H186" s="381">
        <f t="shared" si="72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70"/>
        <v>-29453.938799999982</v>
      </c>
      <c r="G187" s="379">
        <f t="shared" si="71"/>
        <v>156191.41879999998</v>
      </c>
      <c r="H187" s="380">
        <f t="shared" si="72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70"/>
        <v>-19172.503200000017</v>
      </c>
      <c r="G188" s="379">
        <f t="shared" si="71"/>
        <v>140043.3432</v>
      </c>
      <c r="H188" s="380">
        <f t="shared" si="72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70"/>
        <v>-13448.017</v>
      </c>
      <c r="G189" s="379">
        <f t="shared" si="71"/>
        <v>132303.45699999999</v>
      </c>
      <c r="H189" s="380">
        <f t="shared" si="72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70"/>
        <v>-12142.820000000009</v>
      </c>
      <c r="G190" s="379">
        <f t="shared" si="71"/>
        <v>126387.82</v>
      </c>
      <c r="H190" s="380">
        <f t="shared" si="72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3">C191*(E191-D191)</f>
        <v>-11873.480000000014</v>
      </c>
      <c r="G191" s="379">
        <f t="shared" ref="G191:G212" si="74">IF(C191=0, 0,D191*C191)</f>
        <v>118633.48000000001</v>
      </c>
      <c r="H191" s="380">
        <f t="shared" ref="H191:H212" si="75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3"/>
        <v>-11929.199999999995</v>
      </c>
      <c r="G192" s="379">
        <f t="shared" si="74"/>
        <v>106009.2</v>
      </c>
      <c r="H192" s="380">
        <f t="shared" si="75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3"/>
        <v>-18473.284199999991</v>
      </c>
      <c r="G193" s="379">
        <f t="shared" si="74"/>
        <v>138853.4442</v>
      </c>
      <c r="H193" s="380">
        <f t="shared" si="75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3"/>
        <v>-18423.393999999993</v>
      </c>
      <c r="G194" s="379">
        <f t="shared" si="74"/>
        <v>146163.554</v>
      </c>
      <c r="H194" s="380">
        <f t="shared" si="75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3"/>
        <v>-17342.266799999998</v>
      </c>
      <c r="G195" s="379">
        <f t="shared" si="74"/>
        <v>138703.7868</v>
      </c>
      <c r="H195" s="380">
        <f t="shared" si="75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3"/>
        <v>-17312.610000000008</v>
      </c>
      <c r="G196" s="379">
        <f t="shared" si="74"/>
        <v>146094.13</v>
      </c>
      <c r="H196" s="380">
        <f t="shared" si="75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3"/>
        <v>-16618.370000000006</v>
      </c>
      <c r="G197" s="379">
        <f t="shared" si="74"/>
        <v>146094.13</v>
      </c>
      <c r="H197" s="380">
        <f t="shared" si="75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3"/>
        <v>-18614.310000000012</v>
      </c>
      <c r="G198" s="379">
        <f t="shared" si="74"/>
        <v>146094.13</v>
      </c>
      <c r="H198" s="380">
        <f t="shared" si="75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3"/>
        <v>-10717.330000000011</v>
      </c>
      <c r="G199" s="379">
        <f t="shared" si="74"/>
        <v>146094.13</v>
      </c>
      <c r="H199" s="380">
        <f t="shared" si="75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3"/>
        <v>-13335.061799999996</v>
      </c>
      <c r="G200" s="379">
        <f t="shared" si="74"/>
        <v>146939.08179999999</v>
      </c>
      <c r="H200" s="380">
        <f t="shared" si="75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3"/>
        <v>-14034.101799999982</v>
      </c>
      <c r="G201" s="379">
        <f t="shared" si="74"/>
        <v>146939.08179999999</v>
      </c>
      <c r="H201" s="380">
        <f t="shared" si="75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3"/>
        <v>-18125.222999999994</v>
      </c>
      <c r="G202" s="379">
        <f t="shared" si="74"/>
        <v>152910.723</v>
      </c>
      <c r="H202" s="380">
        <f t="shared" si="75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3"/>
        <v>-17204.112599999997</v>
      </c>
      <c r="G203" s="379">
        <f t="shared" si="74"/>
        <v>152812.03260000001</v>
      </c>
      <c r="H203" s="380">
        <f t="shared" si="75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3"/>
        <v>-21007.348200000015</v>
      </c>
      <c r="G204" s="379">
        <f t="shared" si="74"/>
        <v>152777.3082</v>
      </c>
      <c r="H204" s="380">
        <f t="shared" si="75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3"/>
        <v>-23836.109799999987</v>
      </c>
      <c r="G205" s="379">
        <f t="shared" si="74"/>
        <v>154748.68979999999</v>
      </c>
      <c r="H205" s="380">
        <f t="shared" si="75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3"/>
        <v>-28747.721799999992</v>
      </c>
      <c r="G206" s="379">
        <f t="shared" si="74"/>
        <v>157458.96179999999</v>
      </c>
      <c r="H206" s="380">
        <f t="shared" si="75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3"/>
        <v>-26852.387599999998</v>
      </c>
      <c r="G207" s="379">
        <f t="shared" si="74"/>
        <v>154703.22759999998</v>
      </c>
      <c r="H207" s="380">
        <f t="shared" si="75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3"/>
        <v>-32892.451199999996</v>
      </c>
      <c r="G208" s="379">
        <f t="shared" si="74"/>
        <v>157338.5912</v>
      </c>
      <c r="H208" s="380">
        <f t="shared" si="75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3"/>
        <v>-28045.401999999998</v>
      </c>
      <c r="G209" s="379">
        <f t="shared" si="74"/>
        <v>157325.32200000001</v>
      </c>
      <c r="H209" s="381">
        <f t="shared" si="75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3"/>
        <v>-28056.67200000001</v>
      </c>
      <c r="G210" s="379">
        <f t="shared" si="74"/>
        <v>154608.592</v>
      </c>
      <c r="H210" s="381">
        <f t="shared" si="75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3"/>
        <v>-34756.773799999995</v>
      </c>
      <c r="G211" s="379">
        <f t="shared" si="74"/>
        <v>157212.5338</v>
      </c>
      <c r="H211" s="381">
        <f t="shared" si="75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3"/>
        <v>-34901.771399999991</v>
      </c>
      <c r="G212" s="379">
        <f t="shared" si="74"/>
        <v>159747.97140000001</v>
      </c>
      <c r="H212" s="381">
        <f t="shared" si="75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6">C213*(E213-D213)</f>
        <v>-36344.291399999995</v>
      </c>
      <c r="G213" s="379">
        <f t="shared" ref="G213:G228" si="77">IF(C213=0, 0,D213*C213)</f>
        <v>166350.4914</v>
      </c>
      <c r="H213" s="381">
        <f t="shared" ref="H213:H228" si="78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6"/>
        <v>-29806.304399999986</v>
      </c>
      <c r="G214" s="379">
        <f t="shared" si="77"/>
        <v>159588.28439999997</v>
      </c>
      <c r="H214" s="381">
        <f t="shared" si="78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6"/>
        <v>-27362.67760000001</v>
      </c>
      <c r="G215" s="379">
        <f t="shared" si="77"/>
        <v>154100.15760000001</v>
      </c>
      <c r="H215" s="381">
        <f t="shared" si="78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6"/>
        <v>-25413.691800000004</v>
      </c>
      <c r="G216" s="379">
        <f t="shared" si="77"/>
        <v>152157.7518</v>
      </c>
      <c r="H216" s="380">
        <f t="shared" si="78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6"/>
        <v>-18660.303400000012</v>
      </c>
      <c r="G217" s="379">
        <f t="shared" si="77"/>
        <v>145445.88340000002</v>
      </c>
      <c r="H217" s="380">
        <f t="shared" si="78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6"/>
        <v>-16029.133799999994</v>
      </c>
      <c r="G218" s="379">
        <f t="shared" si="77"/>
        <v>145331.33379999999</v>
      </c>
      <c r="H218" s="380">
        <f t="shared" si="78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6"/>
        <v>-13680.976200000003</v>
      </c>
      <c r="G219" s="379">
        <f t="shared" si="77"/>
        <v>137741.23620000001</v>
      </c>
      <c r="H219" s="380">
        <f t="shared" si="78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6"/>
        <v>-9402.4621999999927</v>
      </c>
      <c r="G220" s="379">
        <f t="shared" si="77"/>
        <v>122097.06219999999</v>
      </c>
      <c r="H220" s="380">
        <f t="shared" si="78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6"/>
        <v>-2780.8000000000065</v>
      </c>
      <c r="G221" s="379">
        <f t="shared" si="77"/>
        <v>94520.8</v>
      </c>
      <c r="H221" s="380">
        <f t="shared" si="78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6"/>
        <v>-2111.0000000000005</v>
      </c>
      <c r="G222" s="379">
        <f t="shared" si="77"/>
        <v>86111</v>
      </c>
      <c r="H222" s="380">
        <f t="shared" si="78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6"/>
        <v>-7950.599999999994</v>
      </c>
      <c r="G223" s="379">
        <f t="shared" si="77"/>
        <v>101790.59999999999</v>
      </c>
      <c r="H223" s="380">
        <f t="shared" si="78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6"/>
        <v>-7870.8499999999922</v>
      </c>
      <c r="G224" s="379">
        <f t="shared" si="77"/>
        <v>109530.84999999999</v>
      </c>
      <c r="H224" s="380">
        <f t="shared" si="78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6"/>
        <v>-2961.0000000000055</v>
      </c>
      <c r="G225" s="379">
        <f t="shared" si="77"/>
        <v>101541</v>
      </c>
      <c r="H225" s="380">
        <f t="shared" si="78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6"/>
        <v>-3051.400000000001</v>
      </c>
      <c r="G226" s="379">
        <f t="shared" si="77"/>
        <v>93416.4</v>
      </c>
      <c r="H226" s="380">
        <f t="shared" si="78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6"/>
        <v>-3026.4999999999986</v>
      </c>
      <c r="G227" s="379">
        <f t="shared" si="77"/>
        <v>85176.5</v>
      </c>
      <c r="H227" s="380">
        <f t="shared" si="78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6"/>
        <v>-4876.1226000000042</v>
      </c>
      <c r="G228" s="379">
        <f t="shared" si="77"/>
        <v>88034.802599999995</v>
      </c>
      <c r="H228" s="380">
        <f t="shared" si="78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9">C231*(E231-D231)</f>
        <v>-5163.5724000000046</v>
      </c>
      <c r="G231" s="379">
        <f t="shared" ref="G231:G236" si="80">IF(C231=0, 0,D231*C231)</f>
        <v>103949.79240000001</v>
      </c>
      <c r="H231" s="380">
        <f t="shared" ref="H231:H236" si="81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9"/>
        <v>-7946.8199999999852</v>
      </c>
      <c r="G232" s="379">
        <f t="shared" si="80"/>
        <v>111789.71999999999</v>
      </c>
      <c r="H232" s="381">
        <f t="shared" si="81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9"/>
        <v>-7946.7637999999934</v>
      </c>
      <c r="G233" s="379">
        <f t="shared" si="80"/>
        <v>119564.66379999999</v>
      </c>
      <c r="H233" s="380">
        <f t="shared" si="81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9"/>
        <v>-11864.04560000001</v>
      </c>
      <c r="G234" s="379">
        <f t="shared" si="80"/>
        <v>127187.60560000001</v>
      </c>
      <c r="H234" s="380">
        <f t="shared" si="81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9"/>
        <v>-11894.083199999997</v>
      </c>
      <c r="G235" s="379">
        <f t="shared" si="80"/>
        <v>134727.64319999999</v>
      </c>
      <c r="H235" s="380">
        <f t="shared" si="81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9"/>
        <v>-7970.5317999999861</v>
      </c>
      <c r="G236" s="379">
        <f t="shared" si="80"/>
        <v>126902.75179999998</v>
      </c>
      <c r="H236" s="380">
        <f t="shared" si="81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82">C242*(E242-D242)</f>
        <v>-5839.4414759999936</v>
      </c>
      <c r="G242" s="379">
        <f t="shared" ref="G242:G248" si="83">IF(C242=0, 0,D242*C242)</f>
        <v>126153.70147599999</v>
      </c>
      <c r="H242" s="380">
        <f t="shared" ref="H242:H248" si="84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82"/>
        <v>-7235.2097400000011</v>
      </c>
      <c r="G243" s="379">
        <f t="shared" si="83"/>
        <v>126013.86974000001</v>
      </c>
      <c r="H243" s="380">
        <f t="shared" si="84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82"/>
        <v>-6801.3106039999893</v>
      </c>
      <c r="G244" s="379">
        <f t="shared" si="83"/>
        <v>125579.970604</v>
      </c>
      <c r="H244" s="380">
        <f t="shared" si="84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82"/>
        <v>-15816.44348</v>
      </c>
      <c r="G245" s="379">
        <f t="shared" si="83"/>
        <v>134522.96348000001</v>
      </c>
      <c r="H245" s="381">
        <f t="shared" si="84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82"/>
        <v>-15980.450220000002</v>
      </c>
      <c r="G246" s="379">
        <f t="shared" si="83"/>
        <v>140422.97021999999</v>
      </c>
      <c r="H246" s="381">
        <f t="shared" si="84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82"/>
        <v>-16022.453030000013</v>
      </c>
      <c r="G247" s="379">
        <f t="shared" si="83"/>
        <v>144766.97303000002</v>
      </c>
      <c r="H247" s="381">
        <f t="shared" si="84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82"/>
        <v>-15995.457559999995</v>
      </c>
      <c r="G248" s="379">
        <f t="shared" si="83"/>
        <v>149041.97756</v>
      </c>
      <c r="H248" s="381">
        <f t="shared" si="84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5">C249*(E249-D249)</f>
        <v>-19058.277097999995</v>
      </c>
      <c r="G249" s="379">
        <f t="shared" ref="G249:G256" si="86">IF(C249=0, 0,D249*C249)</f>
        <v>151845.05709799999</v>
      </c>
      <c r="H249" s="381">
        <f t="shared" ref="H249:H256" si="87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5"/>
        <v>-16640.780505999985</v>
      </c>
      <c r="G250" s="379">
        <f t="shared" si="86"/>
        <v>151797.06050599998</v>
      </c>
      <c r="H250" s="381">
        <f t="shared" si="87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5"/>
        <v>-16830.340505999982</v>
      </c>
      <c r="G251" s="379">
        <f t="shared" si="86"/>
        <v>151797.06050599998</v>
      </c>
      <c r="H251" s="381">
        <f t="shared" si="87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5"/>
        <v>-18246.039857999996</v>
      </c>
      <c r="G252" s="379">
        <f t="shared" si="86"/>
        <v>154609.05985799999</v>
      </c>
      <c r="H252" s="380">
        <f t="shared" si="87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5"/>
        <v>-20423.199632000014</v>
      </c>
      <c r="G253" s="379">
        <f t="shared" si="86"/>
        <v>157431.05963200002</v>
      </c>
      <c r="H253" s="380">
        <f t="shared" si="87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5"/>
        <v>-20451.260000000017</v>
      </c>
      <c r="G254" s="379">
        <f t="shared" si="86"/>
        <v>159151.26</v>
      </c>
      <c r="H254" s="380">
        <f t="shared" si="87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5"/>
        <v>-12770.498441999989</v>
      </c>
      <c r="G255" s="379">
        <f t="shared" si="86"/>
        <v>154553.19844199999</v>
      </c>
      <c r="H255" s="380">
        <f t="shared" si="87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5"/>
        <v>-12774.627693999981</v>
      </c>
      <c r="G256" s="379">
        <f t="shared" si="86"/>
        <v>148697.32769399998</v>
      </c>
      <c r="H256" s="380">
        <f t="shared" si="87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8">C257*(E257-D257)</f>
        <v>-10733.467693999992</v>
      </c>
      <c r="G257" s="379">
        <f t="shared" ref="G257:G268" si="89">IF(C257=0, 0,D257*C257)</f>
        <v>148697.32769399998</v>
      </c>
      <c r="H257" s="380">
        <f t="shared" ref="H257:H268" si="90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8"/>
        <v>-14237.112315999999</v>
      </c>
      <c r="G258" s="379">
        <f t="shared" si="89"/>
        <v>151573.33231600001</v>
      </c>
      <c r="H258" s="380">
        <f t="shared" si="90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8"/>
        <v>-14933.404899999989</v>
      </c>
      <c r="G259" s="379">
        <f t="shared" si="89"/>
        <v>148629.38489999998</v>
      </c>
      <c r="H259" s="380">
        <f t="shared" si="90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8"/>
        <v>-14951.241703999996</v>
      </c>
      <c r="G260" s="379">
        <f t="shared" si="89"/>
        <v>151529.221704</v>
      </c>
      <c r="H260" s="380">
        <f t="shared" si="90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8"/>
        <v>-14945.406348000004</v>
      </c>
      <c r="G261" s="379">
        <f t="shared" si="89"/>
        <v>154405.386348</v>
      </c>
      <c r="H261" s="380">
        <f t="shared" si="90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8"/>
        <v>-18303.73</v>
      </c>
      <c r="G262" s="379">
        <f t="shared" si="89"/>
        <v>158903.73000000001</v>
      </c>
      <c r="H262" s="380">
        <f t="shared" si="90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8"/>
        <v>-7311.0640000000021</v>
      </c>
      <c r="G263" s="379">
        <f t="shared" si="89"/>
        <v>148151.10399999999</v>
      </c>
      <c r="H263" s="380">
        <f t="shared" si="90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8"/>
        <v>-7285.3417480000098</v>
      </c>
      <c r="G264" s="379">
        <f t="shared" si="89"/>
        <v>143571.38174800001</v>
      </c>
      <c r="H264" s="380">
        <f t="shared" si="90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8"/>
        <v>-1007.5158000000105</v>
      </c>
      <c r="G265" s="379">
        <f t="shared" si="89"/>
        <v>138987.71580000001</v>
      </c>
      <c r="H265" s="380">
        <f t="shared" si="90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8"/>
        <v>-1091.5898499999998</v>
      </c>
      <c r="G266" s="379">
        <f t="shared" si="89"/>
        <v>127941.78985</v>
      </c>
      <c r="H266" s="380">
        <f t="shared" si="90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8"/>
        <v>-1074.5375999999919</v>
      </c>
      <c r="G267" s="379">
        <f t="shared" si="89"/>
        <v>124522.1376</v>
      </c>
      <c r="H267" s="380">
        <f t="shared" si="90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8"/>
        <v>-975.11200799999187</v>
      </c>
      <c r="G268" s="379">
        <f t="shared" si="89"/>
        <v>131005.31200799999</v>
      </c>
      <c r="H268" s="380">
        <f t="shared" si="90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91">C270*(E270-D270)</f>
        <v>-320.8720079999913</v>
      </c>
      <c r="G270" s="379">
        <f t="shared" ref="G270:G279" si="92">IF(C270=0, 0,D270*C270)</f>
        <v>131005.31200799999</v>
      </c>
      <c r="H270" s="380">
        <f t="shared" ref="H270:H279" si="93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91"/>
        <v>-3298.169357999996</v>
      </c>
      <c r="G271" s="379">
        <f t="shared" si="92"/>
        <v>138935.309358</v>
      </c>
      <c r="H271" s="380">
        <f t="shared" si="93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91"/>
        <v>-3293.1673579999938</v>
      </c>
      <c r="G272" s="379">
        <f t="shared" si="92"/>
        <v>146745.30735799999</v>
      </c>
      <c r="H272" s="380">
        <f t="shared" si="93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91"/>
        <v>1163.524950000012</v>
      </c>
      <c r="G273" s="379">
        <f t="shared" si="92"/>
        <v>130665.83504999999</v>
      </c>
      <c r="H273" s="380">
        <f t="shared" si="93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91"/>
        <v>1293.5203380000021</v>
      </c>
      <c r="G274" s="379">
        <f t="shared" si="92"/>
        <v>122475.839662</v>
      </c>
      <c r="H274" s="380">
        <f t="shared" si="93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91"/>
        <v>1201.2174379999781</v>
      </c>
      <c r="G275" s="379">
        <f t="shared" si="92"/>
        <v>138341.022562</v>
      </c>
      <c r="H275" s="380">
        <f t="shared" si="93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91"/>
        <v>-3368.3391059999908</v>
      </c>
      <c r="G276" s="379">
        <f t="shared" si="92"/>
        <v>143066.01910599999</v>
      </c>
      <c r="H276" s="380">
        <f t="shared" si="93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91"/>
        <v>-3374.3343760000034</v>
      </c>
      <c r="G277" s="379">
        <f t="shared" si="92"/>
        <v>147740.01437600001</v>
      </c>
      <c r="H277" s="380">
        <f t="shared" si="93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91"/>
        <v>-1890.1133999999961</v>
      </c>
      <c r="G278" s="379">
        <f t="shared" si="92"/>
        <v>154028.27340000001</v>
      </c>
      <c r="H278" s="380">
        <f t="shared" si="93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91"/>
        <v>-17012.580000000009</v>
      </c>
      <c r="G279" s="379">
        <f t="shared" si="92"/>
        <v>159012.58000000002</v>
      </c>
      <c r="H279" s="380">
        <f t="shared" si="93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4">C283*(E283-D283)</f>
        <v>-19935.600000000009</v>
      </c>
      <c r="G283" s="379">
        <f t="shared" ref="G283:G290" si="95">IF(C283=0, 0,D283*C283)</f>
        <v>187335.6</v>
      </c>
      <c r="H283" s="381">
        <f t="shared" ref="H283:H290" si="96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4"/>
        <v>-19900.075000000015</v>
      </c>
      <c r="G284" s="379">
        <f t="shared" si="95"/>
        <v>194275.07500000001</v>
      </c>
      <c r="H284" s="381">
        <f t="shared" si="96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4"/>
        <v>-22705.387499999997</v>
      </c>
      <c r="G285" s="379">
        <f t="shared" si="95"/>
        <v>194205.38750000001</v>
      </c>
      <c r="H285" s="381">
        <f t="shared" si="96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4"/>
        <v>-29391.250000000004</v>
      </c>
      <c r="G286" s="379">
        <f t="shared" si="95"/>
        <v>194141.25</v>
      </c>
      <c r="H286" s="381">
        <f t="shared" si="96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4"/>
        <v>-34359.325000000004</v>
      </c>
      <c r="G287" s="379">
        <f t="shared" si="95"/>
        <v>194109.32500000001</v>
      </c>
      <c r="H287" s="380">
        <f t="shared" si="96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4"/>
        <v>-16630.000000000004</v>
      </c>
      <c r="G288" s="379">
        <f t="shared" si="95"/>
        <v>158130</v>
      </c>
      <c r="H288" s="380">
        <f t="shared" si="96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4"/>
        <v>-21229.999999999996</v>
      </c>
      <c r="G289" s="379">
        <f t="shared" si="95"/>
        <v>171820</v>
      </c>
      <c r="H289" s="380">
        <f t="shared" si="96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4"/>
        <v>6109.9988400000047</v>
      </c>
      <c r="G290" s="379">
        <f t="shared" si="95"/>
        <v>118887.84116000001</v>
      </c>
      <c r="H290" s="380">
        <f t="shared" si="96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7">C291*(E291-D291)</f>
        <v>822.70680000000016</v>
      </c>
      <c r="G291" s="379">
        <f t="shared" ref="G291:G308" si="98">IF(C291=0, 0,D291*C291)</f>
        <v>126917.6532</v>
      </c>
      <c r="H291" s="380">
        <f t="shared" ref="H291:H308" si="99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7"/>
        <v>83.308799999990825</v>
      </c>
      <c r="G292" s="379">
        <f t="shared" si="98"/>
        <v>134772.8112</v>
      </c>
      <c r="H292" s="380">
        <f t="shared" si="99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7"/>
        <v>-4985.4834000000074</v>
      </c>
      <c r="G293" s="379">
        <f t="shared" si="98"/>
        <v>139206.5834</v>
      </c>
      <c r="H293" s="380">
        <f t="shared" si="99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7"/>
        <v>18978.923399999992</v>
      </c>
      <c r="G294" s="379">
        <f t="shared" si="98"/>
        <v>74535.756600000008</v>
      </c>
      <c r="H294" s="380">
        <f t="shared" si="99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7"/>
        <v>18638.087600000006</v>
      </c>
      <c r="G295" s="379">
        <f t="shared" si="98"/>
        <v>65051.332399999999</v>
      </c>
      <c r="H295" s="380">
        <f t="shared" si="99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7"/>
        <v>18627.5</v>
      </c>
      <c r="G296" s="379">
        <f t="shared" si="98"/>
        <v>70822.5</v>
      </c>
      <c r="H296" s="380">
        <f t="shared" si="99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7"/>
        <v>20177.499999999996</v>
      </c>
      <c r="G297" s="379">
        <f t="shared" si="98"/>
        <v>70822.5</v>
      </c>
      <c r="H297" s="380">
        <f t="shared" si="99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7"/>
        <v>21382.430000000011</v>
      </c>
      <c r="G298" s="379">
        <f t="shared" si="98"/>
        <v>70717.569999999992</v>
      </c>
      <c r="H298" s="380">
        <f t="shared" si="99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7"/>
        <v>20612.23</v>
      </c>
      <c r="G299" s="379">
        <f t="shared" si="98"/>
        <v>70637.77</v>
      </c>
      <c r="H299" s="380">
        <f t="shared" si="99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7"/>
        <v>22311.999999999993</v>
      </c>
      <c r="G300" s="379">
        <f t="shared" si="98"/>
        <v>70138</v>
      </c>
      <c r="H300" s="380">
        <f t="shared" si="99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7"/>
        <v>20873</v>
      </c>
      <c r="G301" s="379">
        <f t="shared" si="98"/>
        <v>70127</v>
      </c>
      <c r="H301" s="380">
        <f t="shared" si="99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7"/>
        <v>20073</v>
      </c>
      <c r="G302" s="379">
        <f t="shared" si="98"/>
        <v>70127</v>
      </c>
      <c r="H302" s="380">
        <f t="shared" si="99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7"/>
        <v>17654.651999999998</v>
      </c>
      <c r="G303" s="379">
        <f t="shared" si="98"/>
        <v>87765.347999999998</v>
      </c>
      <c r="H303" s="381">
        <f t="shared" si="99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7"/>
        <v>16484.261999999992</v>
      </c>
      <c r="G304" s="379">
        <f t="shared" si="98"/>
        <v>87375.737999999998</v>
      </c>
      <c r="H304" s="381">
        <f t="shared" si="99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7"/>
        <v>20939.061000000002</v>
      </c>
      <c r="G305" s="379">
        <f t="shared" si="98"/>
        <v>78335.938999999998</v>
      </c>
      <c r="H305" s="381">
        <f t="shared" si="99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7"/>
        <v>20604.060000000005</v>
      </c>
      <c r="G306" s="379">
        <f t="shared" si="98"/>
        <v>87275.94</v>
      </c>
      <c r="H306" s="381">
        <f t="shared" si="99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7"/>
        <v>17593.872000000007</v>
      </c>
      <c r="G307" s="379">
        <f t="shared" si="98"/>
        <v>87166.127999999997</v>
      </c>
      <c r="H307" s="381">
        <f t="shared" si="99"/>
        <v>0.20184299112150547</v>
      </c>
      <c r="I307" s="379"/>
    </row>
    <row r="308" spans="1:9" x14ac:dyDescent="0.25">
      <c r="A308" s="234" t="s">
        <v>352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7"/>
        <v>16453.871999999999</v>
      </c>
      <c r="G308" s="379">
        <f t="shared" si="98"/>
        <v>87166.127999999997</v>
      </c>
      <c r="H308" s="381">
        <f t="shared" si="99"/>
        <v>0.1887645164185795</v>
      </c>
      <c r="I308" s="379"/>
    </row>
    <row r="309" spans="1:9" x14ac:dyDescent="0.25">
      <c r="A309" t="s">
        <v>352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100">C309*(E309-D309)</f>
        <v>19333.872000000003</v>
      </c>
      <c r="G309" s="379">
        <f t="shared" ref="G309:G323" si="101">IF(C309=0, 0,D309*C309)</f>
        <v>87166.127999999997</v>
      </c>
      <c r="H309" s="381">
        <f t="shared" ref="H309:H323" si="102">IF(C309=0, D309, (E309-D309)/D309)</f>
        <v>0.22180487356281334</v>
      </c>
      <c r="I309" s="379"/>
    </row>
    <row r="310" spans="1:9" x14ac:dyDescent="0.25">
      <c r="A310" t="s">
        <v>388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100"/>
        <v>19450.98</v>
      </c>
      <c r="G310" s="379">
        <f t="shared" si="101"/>
        <v>87049.02</v>
      </c>
      <c r="H310" s="381">
        <f t="shared" si="102"/>
        <v>0.22344858104088938</v>
      </c>
      <c r="I310" s="379"/>
    </row>
    <row r="311" spans="1:9" x14ac:dyDescent="0.25">
      <c r="A311" t="s">
        <v>392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100"/>
        <v>17423.978999999996</v>
      </c>
      <c r="G311" s="379">
        <f t="shared" si="101"/>
        <v>88777.021000000008</v>
      </c>
      <c r="H311" s="381">
        <f t="shared" si="102"/>
        <v>0.19626676817641803</v>
      </c>
      <c r="I311" s="379"/>
    </row>
    <row r="312" spans="1:9" x14ac:dyDescent="0.25">
      <c r="A312" t="s">
        <v>403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100"/>
        <v>11978.979600000011</v>
      </c>
      <c r="G312" s="379">
        <f t="shared" si="101"/>
        <v>102078.02039999999</v>
      </c>
      <c r="H312" s="381">
        <f t="shared" si="102"/>
        <v>0.11735121383682331</v>
      </c>
      <c r="I312" s="379"/>
    </row>
    <row r="313" spans="1:9" x14ac:dyDescent="0.25">
      <c r="A313" t="s">
        <v>404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100"/>
        <v>13568.870699999996</v>
      </c>
      <c r="G313" s="379">
        <f t="shared" si="101"/>
        <v>102006.1293</v>
      </c>
      <c r="H313" s="381">
        <f t="shared" si="102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100"/>
        <v>12886.949999999995</v>
      </c>
      <c r="G314" s="379">
        <f t="shared" si="101"/>
        <v>86653.05</v>
      </c>
      <c r="H314" s="381">
        <f t="shared" si="102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100"/>
        <v>13051.947999999999</v>
      </c>
      <c r="G315" s="379">
        <f t="shared" si="101"/>
        <v>103078.052</v>
      </c>
      <c r="H315" s="381">
        <f t="shared" si="102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100"/>
        <v>13089.952800000001</v>
      </c>
      <c r="G316" s="379">
        <f t="shared" si="101"/>
        <v>106358.0472</v>
      </c>
      <c r="H316" s="381">
        <f t="shared" si="102"/>
        <v>0.12307439958337259</v>
      </c>
      <c r="I316" s="379"/>
    </row>
    <row r="317" spans="1:9" x14ac:dyDescent="0.25">
      <c r="A317" t="s">
        <v>408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100"/>
        <v>13075.699000000004</v>
      </c>
      <c r="G317" s="379">
        <f t="shared" si="101"/>
        <v>94759.300999999992</v>
      </c>
      <c r="H317" s="381">
        <f t="shared" si="102"/>
        <v>0.13798855481215511</v>
      </c>
      <c r="I317" s="379"/>
    </row>
    <row r="318" spans="1:9" x14ac:dyDescent="0.25">
      <c r="A318" t="s">
        <v>411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100"/>
        <v>13867.271999999995</v>
      </c>
      <c r="G318" s="379">
        <f>IF(C318=0, 0,D318*C318)</f>
        <v>86212.728000000003</v>
      </c>
      <c r="H318" s="381">
        <f t="shared" si="102"/>
        <v>0.16084947456946261</v>
      </c>
      <c r="I318" s="379"/>
    </row>
    <row r="319" spans="1:9" x14ac:dyDescent="0.25">
      <c r="A319" t="s">
        <v>419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100"/>
        <v>17083.611900000004</v>
      </c>
      <c r="G319" s="379">
        <f t="shared" si="101"/>
        <v>74235.388099999996</v>
      </c>
      <c r="H319" s="381">
        <f t="shared" si="102"/>
        <v>0.2301276027140485</v>
      </c>
      <c r="I319" s="379"/>
    </row>
    <row r="320" spans="1:9" x14ac:dyDescent="0.25">
      <c r="A320" t="s">
        <v>430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100"/>
        <v>13252.614000000001</v>
      </c>
      <c r="G320" s="379">
        <f t="shared" si="101"/>
        <v>85867.385999999999</v>
      </c>
      <c r="H320" s="381">
        <f t="shared" si="102"/>
        <v>0.15433815581622576</v>
      </c>
      <c r="I320" s="379"/>
    </row>
    <row r="321" spans="1:13" x14ac:dyDescent="0.25">
      <c r="A321" t="s">
        <v>435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100"/>
        <v>10351.611600000004</v>
      </c>
      <c r="G321" s="379">
        <f t="shared" si="101"/>
        <v>95446.388400000011</v>
      </c>
      <c r="H321" s="381">
        <f t="shared" si="102"/>
        <v>0.10845472283998965</v>
      </c>
      <c r="I321" s="379"/>
    </row>
    <row r="322" spans="1:13" x14ac:dyDescent="0.25">
      <c r="A322" t="s">
        <v>459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100"/>
        <v>12307.2804</v>
      </c>
      <c r="G322" s="379">
        <f t="shared" si="101"/>
        <v>80602.719600000011</v>
      </c>
      <c r="H322" s="381">
        <f t="shared" si="102"/>
        <v>0.1526906345229572</v>
      </c>
      <c r="I322" s="379"/>
    </row>
    <row r="323" spans="1:13" x14ac:dyDescent="0.25">
      <c r="A323" t="s">
        <v>461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100"/>
        <v>11781.900000000011</v>
      </c>
      <c r="G323" s="379">
        <f t="shared" si="101"/>
        <v>80387.100000000006</v>
      </c>
      <c r="H323" s="381">
        <f t="shared" si="102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3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4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3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4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3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4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3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4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3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4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3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4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3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4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3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4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3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4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3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4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3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4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3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4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3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4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3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4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3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4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3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4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3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4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3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4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3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4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3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4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3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4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3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4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3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4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3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4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3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4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3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4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3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4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3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4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3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3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3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5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3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5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3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5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3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5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3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5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3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5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3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5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3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5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3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5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3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5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3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5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3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5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3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5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3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3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3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6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3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6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3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6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3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6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3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6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3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6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3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6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3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6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3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6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3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6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3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6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3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6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3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6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3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6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3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6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3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6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3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6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3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6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3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6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7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6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7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6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7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6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7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6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7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6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7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6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7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6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7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6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7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6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7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6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7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6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7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6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7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6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7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6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7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6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7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6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7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6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7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6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7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6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7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6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7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6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7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6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7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6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7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6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7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6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7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6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7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6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7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6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7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6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7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6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7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6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7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6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7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6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7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6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7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6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7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6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7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6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7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6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7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6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7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6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7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6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7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7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7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7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7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7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7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7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7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7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7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7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7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7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7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7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7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7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7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7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7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7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7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8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8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8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8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8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8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8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8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8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8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8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8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8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8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8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8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9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8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9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8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9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8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9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8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9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8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9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8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9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8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9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8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9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8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9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8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9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8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9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8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9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8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9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8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9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8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9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8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9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8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9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8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9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8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9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8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9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8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9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8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9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8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9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8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9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8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9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8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9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8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9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8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9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8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9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8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9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8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9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8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9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8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9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8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9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8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9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8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9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8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9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8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9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8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9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8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9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8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9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8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9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8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9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8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9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8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9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8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9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8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9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8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9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10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9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10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9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10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9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10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9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10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9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10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9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10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9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10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9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10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9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10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9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10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9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10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9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10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9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10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9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10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9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9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9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11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9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11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9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11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9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11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9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11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9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11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9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11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9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11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9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11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9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11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9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9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12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9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12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9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12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9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12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9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12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9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12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9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12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9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12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9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12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9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12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12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12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12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12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12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12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12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1019" priority="102">
      <formula>F79&gt;0</formula>
    </cfRule>
    <cfRule type="expression" dxfId="1018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1017" priority="95">
      <formula>F72&gt;0</formula>
    </cfRule>
    <cfRule type="expression" dxfId="1016" priority="96">
      <formula>F72&lt;0</formula>
    </cfRule>
  </conditionalFormatting>
  <conditionalFormatting sqref="H72:H78">
    <cfRule type="expression" dxfId="1015" priority="91">
      <formula>H72&gt;0</formula>
    </cfRule>
    <cfRule type="expression" dxfId="1014" priority="92">
      <formula>H72&lt;0</formula>
    </cfRule>
  </conditionalFormatting>
  <conditionalFormatting sqref="Q8">
    <cfRule type="expression" dxfId="1013" priority="77">
      <formula>Q8&gt;0</formula>
    </cfRule>
    <cfRule type="expression" dxfId="1012" priority="78">
      <formula>Q8&lt;0</formula>
    </cfRule>
  </conditionalFormatting>
  <conditionalFormatting sqref="Q7">
    <cfRule type="expression" dxfId="1011" priority="79">
      <formula>Q7&gt;0</formula>
    </cfRule>
    <cfRule type="expression" dxfId="1010" priority="80">
      <formula>Q7&lt;0</formula>
    </cfRule>
  </conditionalFormatting>
  <conditionalFormatting sqref="F180:F186">
    <cfRule type="expression" dxfId="1009" priority="51">
      <formula>F180&gt;0</formula>
    </cfRule>
    <cfRule type="expression" dxfId="1008" priority="52">
      <formula>F180&lt;0</formula>
    </cfRule>
  </conditionalFormatting>
  <conditionalFormatting sqref="F105:F123 H105:H123">
    <cfRule type="expression" dxfId="1007" priority="73">
      <formula>F105&gt;0</formula>
    </cfRule>
    <cfRule type="expression" dxfId="1006" priority="74">
      <formula>F105&lt;0</formula>
    </cfRule>
  </conditionalFormatting>
  <conditionalFormatting sqref="F98:F104">
    <cfRule type="expression" dxfId="1005" priority="71">
      <formula>F98&gt;0</formula>
    </cfRule>
    <cfRule type="expression" dxfId="1004" priority="72">
      <formula>F98&lt;0</formula>
    </cfRule>
  </conditionalFormatting>
  <conditionalFormatting sqref="H98:H104">
    <cfRule type="expression" dxfId="1003" priority="69">
      <formula>H98&gt;0</formula>
    </cfRule>
    <cfRule type="expression" dxfId="1002" priority="70">
      <formula>H98&lt;0</formula>
    </cfRule>
  </conditionalFormatting>
  <conditionalFormatting sqref="F131:F149 H131:H149">
    <cfRule type="expression" dxfId="1001" priority="67">
      <formula>F131&gt;0</formula>
    </cfRule>
    <cfRule type="expression" dxfId="1000" priority="68">
      <formula>F131&lt;0</formula>
    </cfRule>
  </conditionalFormatting>
  <conditionalFormatting sqref="F124:F130">
    <cfRule type="expression" dxfId="999" priority="65">
      <formula>F124&gt;0</formula>
    </cfRule>
    <cfRule type="expression" dxfId="998" priority="66">
      <formula>F124&lt;0</formula>
    </cfRule>
  </conditionalFormatting>
  <conditionalFormatting sqref="H124:H130">
    <cfRule type="expression" dxfId="997" priority="63">
      <formula>H124&gt;0</formula>
    </cfRule>
    <cfRule type="expression" dxfId="996" priority="64">
      <formula>H124&lt;0</formula>
    </cfRule>
  </conditionalFormatting>
  <conditionalFormatting sqref="F157:F174 H157:H174">
    <cfRule type="expression" dxfId="995" priority="61">
      <formula>F157&gt;0</formula>
    </cfRule>
    <cfRule type="expression" dxfId="994" priority="62">
      <formula>F157&lt;0</formula>
    </cfRule>
  </conditionalFormatting>
  <conditionalFormatting sqref="F150:F156">
    <cfRule type="expression" dxfId="993" priority="59">
      <formula>F150&gt;0</formula>
    </cfRule>
    <cfRule type="expression" dxfId="992" priority="60">
      <formula>F150&lt;0</formula>
    </cfRule>
  </conditionalFormatting>
  <conditionalFormatting sqref="H150:H156">
    <cfRule type="expression" dxfId="991" priority="57">
      <formula>H150&gt;0</formula>
    </cfRule>
    <cfRule type="expression" dxfId="990" priority="58">
      <formula>H150&lt;0</formula>
    </cfRule>
  </conditionalFormatting>
  <conditionalFormatting sqref="F175:F179 H175:H179">
    <cfRule type="expression" dxfId="989" priority="55">
      <formula>F175&gt;0</formula>
    </cfRule>
    <cfRule type="expression" dxfId="988" priority="56">
      <formula>F175&lt;0</formula>
    </cfRule>
  </conditionalFormatting>
  <conditionalFormatting sqref="F187:F202 H187:H202">
    <cfRule type="expression" dxfId="987" priority="53">
      <formula>F187&gt;0</formula>
    </cfRule>
    <cfRule type="expression" dxfId="986" priority="54">
      <formula>F187&lt;0</formula>
    </cfRule>
  </conditionalFormatting>
  <conditionalFormatting sqref="H180:H186">
    <cfRule type="expression" dxfId="985" priority="49">
      <formula>H180&gt;0</formula>
    </cfRule>
    <cfRule type="expression" dxfId="984" priority="50">
      <formula>H180&lt;0</formula>
    </cfRule>
  </conditionalFormatting>
  <conditionalFormatting sqref="F203 H203">
    <cfRule type="expression" dxfId="983" priority="47">
      <formula>F203&gt;0</formula>
    </cfRule>
    <cfRule type="expression" dxfId="982" priority="48">
      <formula>F203&lt;0</formula>
    </cfRule>
  </conditionalFormatting>
  <conditionalFormatting sqref="F204:F208 H204:H208">
    <cfRule type="expression" dxfId="981" priority="45">
      <formula>F204&gt;0</formula>
    </cfRule>
    <cfRule type="expression" dxfId="980" priority="46">
      <formula>F204&lt;0</formula>
    </cfRule>
  </conditionalFormatting>
  <conditionalFormatting sqref="F216:F231 H216:H231">
    <cfRule type="expression" dxfId="979" priority="43">
      <formula>F216&gt;0</formula>
    </cfRule>
    <cfRule type="expression" dxfId="978" priority="44">
      <formula>F216&lt;0</formula>
    </cfRule>
  </conditionalFormatting>
  <conditionalFormatting sqref="F209:F215">
    <cfRule type="expression" dxfId="977" priority="41">
      <formula>F209&gt;0</formula>
    </cfRule>
    <cfRule type="expression" dxfId="976" priority="42">
      <formula>F209&lt;0</formula>
    </cfRule>
  </conditionalFormatting>
  <conditionalFormatting sqref="H209:H215">
    <cfRule type="expression" dxfId="975" priority="39">
      <formula>H209&gt;0</formula>
    </cfRule>
    <cfRule type="expression" dxfId="974" priority="40">
      <formula>H209&lt;0</formula>
    </cfRule>
  </conditionalFormatting>
  <conditionalFormatting sqref="F233:F238 H233:H238">
    <cfRule type="expression" dxfId="973" priority="37">
      <formula>F233&gt;0</formula>
    </cfRule>
    <cfRule type="expression" dxfId="972" priority="38">
      <formula>F233&lt;0</formula>
    </cfRule>
  </conditionalFormatting>
  <conditionalFormatting sqref="F239 H239">
    <cfRule type="expression" dxfId="971" priority="35">
      <formula>F239&gt;0</formula>
    </cfRule>
    <cfRule type="expression" dxfId="970" priority="36">
      <formula>F239&lt;0</formula>
    </cfRule>
  </conditionalFormatting>
  <conditionalFormatting sqref="F240:F244 H240:H244">
    <cfRule type="expression" dxfId="969" priority="33">
      <formula>F240&gt;0</formula>
    </cfRule>
    <cfRule type="expression" dxfId="968" priority="34">
      <formula>F240&lt;0</formula>
    </cfRule>
  </conditionalFormatting>
  <conditionalFormatting sqref="F252:F267 H252:H267">
    <cfRule type="expression" dxfId="967" priority="31">
      <formula>F252&gt;0</formula>
    </cfRule>
    <cfRule type="expression" dxfId="966" priority="32">
      <formula>F252&lt;0</formula>
    </cfRule>
  </conditionalFormatting>
  <conditionalFormatting sqref="F245:F251">
    <cfRule type="expression" dxfId="965" priority="29">
      <formula>F245&gt;0</formula>
    </cfRule>
    <cfRule type="expression" dxfId="964" priority="30">
      <formula>F245&lt;0</formula>
    </cfRule>
  </conditionalFormatting>
  <conditionalFormatting sqref="H245:H251">
    <cfRule type="expression" dxfId="963" priority="27">
      <formula>H245&gt;0</formula>
    </cfRule>
    <cfRule type="expression" dxfId="962" priority="28">
      <formula>H245&lt;0</formula>
    </cfRule>
  </conditionalFormatting>
  <conditionalFormatting sqref="F268:F273 H268:H273">
    <cfRule type="expression" dxfId="961" priority="25">
      <formula>F268&gt;0</formula>
    </cfRule>
    <cfRule type="expression" dxfId="960" priority="26">
      <formula>F268&lt;0</formula>
    </cfRule>
  </conditionalFormatting>
  <conditionalFormatting sqref="F274 H274">
    <cfRule type="expression" dxfId="959" priority="23">
      <formula>F274&gt;0</formula>
    </cfRule>
    <cfRule type="expression" dxfId="958" priority="24">
      <formula>F274&lt;0</formula>
    </cfRule>
  </conditionalFormatting>
  <conditionalFormatting sqref="F275:F279 H275:H279">
    <cfRule type="expression" dxfId="957" priority="21">
      <formula>F275&gt;0</formula>
    </cfRule>
    <cfRule type="expression" dxfId="956" priority="22">
      <formula>F275&lt;0</formula>
    </cfRule>
  </conditionalFormatting>
  <conditionalFormatting sqref="F287:F302 H287:H302">
    <cfRule type="expression" dxfId="955" priority="19">
      <formula>F287&gt;0</formula>
    </cfRule>
    <cfRule type="expression" dxfId="954" priority="20">
      <formula>F287&lt;0</formula>
    </cfRule>
  </conditionalFormatting>
  <conditionalFormatting sqref="F280:F286">
    <cfRule type="expression" dxfId="953" priority="17">
      <formula>F280&gt;0</formula>
    </cfRule>
    <cfRule type="expression" dxfId="952" priority="18">
      <formula>F280&lt;0</formula>
    </cfRule>
  </conditionalFormatting>
  <conditionalFormatting sqref="H280:H286">
    <cfRule type="expression" dxfId="951" priority="15">
      <formula>H280&gt;0</formula>
    </cfRule>
    <cfRule type="expression" dxfId="950" priority="16">
      <formula>H280&lt;0</formula>
    </cfRule>
  </conditionalFormatting>
  <conditionalFormatting sqref="M331">
    <cfRule type="expression" dxfId="949" priority="13">
      <formula>M331&gt;0</formula>
    </cfRule>
    <cfRule type="expression" dxfId="948" priority="14">
      <formula>M331&lt;0</formula>
    </cfRule>
  </conditionalFormatting>
  <conditionalFormatting sqref="F54:F68 H54:H68">
    <cfRule type="expression" dxfId="947" priority="11">
      <formula>F54&gt;0</formula>
    </cfRule>
    <cfRule type="expression" dxfId="946" priority="12">
      <formula>F54&lt;0</formula>
    </cfRule>
  </conditionalFormatting>
  <conditionalFormatting sqref="F42:F53">
    <cfRule type="expression" dxfId="945" priority="9">
      <formula>F42&gt;0</formula>
    </cfRule>
    <cfRule type="expression" dxfId="944" priority="10">
      <formula>F42&lt;0</formula>
    </cfRule>
  </conditionalFormatting>
  <conditionalFormatting sqref="H42:H53">
    <cfRule type="expression" dxfId="943" priority="7">
      <formula>H42&gt;0</formula>
    </cfRule>
    <cfRule type="expression" dxfId="942" priority="8">
      <formula>H42&lt;0</formula>
    </cfRule>
  </conditionalFormatting>
  <conditionalFormatting sqref="F36:F41 H36:H41">
    <cfRule type="expression" dxfId="941" priority="5">
      <formula>F36&gt;0</formula>
    </cfRule>
    <cfRule type="expression" dxfId="940" priority="6">
      <formula>F36&lt;0</formula>
    </cfRule>
  </conditionalFormatting>
  <conditionalFormatting sqref="J38:K38">
    <cfRule type="expression" dxfId="939" priority="3">
      <formula>J38&gt;0</formula>
    </cfRule>
    <cfRule type="expression" dxfId="938" priority="4">
      <formula>J38&lt;0</formula>
    </cfRule>
  </conditionalFormatting>
  <conditionalFormatting sqref="J39:K45 K44:K68">
    <cfRule type="expression" dxfId="937" priority="1">
      <formula>J39&gt;0</formula>
    </cfRule>
    <cfRule type="expression" dxfId="936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372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7">
        <f>AC2/AC3-1</f>
        <v>-1.2798922196025631E-2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541</v>
      </c>
      <c r="M3" s="3"/>
      <c r="N3" s="4"/>
      <c r="O3" s="11" t="s">
        <v>58</v>
      </c>
      <c r="Q3" s="490">
        <f>IF(Q2=0, Q4, (F28-K28-M28)/Q2)</f>
        <v>31.861853333333332</v>
      </c>
      <c r="T3" s="1" t="s">
        <v>493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7">
        <f t="shared" ref="AE3:AE66" si="2">AC3/AC4-1</f>
        <v>9.8639455782314478E-3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29.82</v>
      </c>
      <c r="R4" s="499">
        <v>-6.0000000000000001E-3</v>
      </c>
      <c r="T4" s="162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7">
        <f t="shared" si="2"/>
        <v>-3.0518819938962771E-3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44730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7">
        <f t="shared" si="2"/>
        <v>9.9315068493150971E-3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T6" t="s">
        <v>575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7">
        <f t="shared" si="2"/>
        <v>-4.7716428084526585E-3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-1314.8100000000049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7">
        <f t="shared" si="2"/>
        <v>1.0330578512396826E-2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-3062.7799999999988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7">
        <f t="shared" si="2"/>
        <v>3.8022813688212143E-3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-6.4084575117831583E-2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7">
        <f t="shared" si="2"/>
        <v>-5.8419243986255198E-3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7">
        <f t="shared" si="2"/>
        <v>-5.4682159945317332E-3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7">
        <f t="shared" si="2"/>
        <v>1.035911602209949E-2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7">
        <f t="shared" si="2"/>
        <v>1.0369858278604926E-3</v>
      </c>
    </row>
    <row r="13" spans="1:31" x14ac:dyDescent="0.25">
      <c r="B13" s="501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7">
        <f t="shared" si="2"/>
        <v>-8.9071599862967643E-3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7">
        <f t="shared" si="2"/>
        <v>-1.2182741116751217E-2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7">
        <f t="shared" si="2"/>
        <v>7.8444747612551602E-3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7">
        <f t="shared" si="2"/>
        <v>1.6643550624133141E-2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7">
        <f t="shared" si="2"/>
        <v>4.8780487804878092E-3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7">
        <f t="shared" si="2"/>
        <v>3.4855350296258969E-4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7">
        <f t="shared" si="2"/>
        <v>-4.5107564191533278E-3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7">
        <f t="shared" si="2"/>
        <v>-3.468609087755592E-4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7">
        <f t="shared" si="2"/>
        <v>-5.8620689655173308E-3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7">
        <f t="shared" si="2"/>
        <v>6.5949323151683892E-3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7">
        <f t="shared" si="2"/>
        <v>-1.9067075246850584E-2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7">
        <f t="shared" si="2"/>
        <v>-8.7748903138710199E-3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7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7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7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7">
        <f t="shared" si="2"/>
        <v>-1.303538175046548E-2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7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7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7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7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7">
        <f t="shared" si="2"/>
        <v>6.174654513378508E-3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540</v>
      </c>
      <c r="K34" s="228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7">
        <f t="shared" si="2"/>
        <v>2.0624631703005658E-3</v>
      </c>
    </row>
    <row r="35" spans="1:31" x14ac:dyDescent="0.25">
      <c r="A35" t="s">
        <v>358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7">
        <f t="shared" si="2"/>
        <v>1.2831990450611785E-2</v>
      </c>
    </row>
    <row r="36" spans="1:31" x14ac:dyDescent="0.25">
      <c r="A36" t="s">
        <v>358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7">
        <f t="shared" si="2"/>
        <v>1.3305110371938156E-2</v>
      </c>
    </row>
    <row r="37" spans="1:31" x14ac:dyDescent="0.25">
      <c r="A37" t="s">
        <v>393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7">
        <f t="shared" si="2"/>
        <v>-4.2155977115326815E-3</v>
      </c>
    </row>
    <row r="38" spans="1:31" x14ac:dyDescent="0.25">
      <c r="A38" t="s">
        <v>420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7" t="e">
        <f t="shared" si="2"/>
        <v>#DIV/0!</v>
      </c>
    </row>
    <row r="39" spans="1:31" x14ac:dyDescent="0.25">
      <c r="A39" t="s">
        <v>437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42779</v>
      </c>
      <c r="X39" s="10" t="s">
        <v>391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20.25" thickBot="1" x14ac:dyDescent="0.35">
      <c r="A40" t="s">
        <v>394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7">
        <f t="shared" si="2"/>
        <v>-2.9967036260103441E-4</v>
      </c>
    </row>
    <row r="41" spans="1:31" ht="15.75" thickTop="1" x14ac:dyDescent="0.25">
      <c r="A41" t="s">
        <v>462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471</v>
      </c>
      <c r="J41" s="40"/>
      <c r="K41" s="40"/>
      <c r="O41" s="82">
        <v>1.1000000000000001</v>
      </c>
      <c r="P41" s="82">
        <f>O41*$Q$4</f>
        <v>32.802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7">
        <f t="shared" si="2"/>
        <v>1.9865525672371653E-2</v>
      </c>
    </row>
    <row r="42" spans="1:31" ht="20.25" thickBot="1" x14ac:dyDescent="0.35">
      <c r="A42" t="s">
        <v>360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32.503800000000005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7">
        <f t="shared" si="2"/>
        <v>-7.2815533980583602E-3</v>
      </c>
    </row>
    <row r="43" spans="1:31" ht="15.75" thickTop="1" x14ac:dyDescent="0.25">
      <c r="A43" t="s">
        <v>496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32.205600000000004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7">
        <f t="shared" si="2"/>
        <v>-1.8170985999404254E-2</v>
      </c>
    </row>
    <row r="44" spans="1:31" x14ac:dyDescent="0.25">
      <c r="A44" t="s">
        <v>502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31.907400000000003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7">
        <f t="shared" si="2"/>
        <v>-9.7345132743362761E-3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31.609200000000001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7">
        <f t="shared" si="2"/>
        <v>-2.3543260741611949E-3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31.311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7">
        <f t="shared" si="2"/>
        <v>1.9807923169267605E-2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31.012800000000002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7">
        <f t="shared" si="2"/>
        <v>-1.5366430260047359E-2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30.714600000000001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7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30.416399999999999</v>
      </c>
      <c r="Q49" s="2"/>
      <c r="T49" s="92" t="s">
        <v>104</v>
      </c>
      <c r="U49" s="87" t="s">
        <v>563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7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30.118200000000002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7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29.82</v>
      </c>
      <c r="Q51" s="2"/>
      <c r="T51" s="92" t="s">
        <v>105</v>
      </c>
      <c r="U51" s="87" t="s">
        <v>674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7">
        <f t="shared" si="2"/>
        <v>8.0959520239878291E-3</v>
      </c>
    </row>
    <row r="52" spans="2:31" x14ac:dyDescent="0.25">
      <c r="O52" s="82">
        <v>0.99</v>
      </c>
      <c r="P52" s="82">
        <f t="shared" si="9"/>
        <v>29.521799999999999</v>
      </c>
      <c r="Q52" s="2"/>
      <c r="T52" s="92" t="s">
        <v>106</v>
      </c>
      <c r="U52" s="87" t="s">
        <v>675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7">
        <f t="shared" si="2"/>
        <v>2.4045686804929911E-3</v>
      </c>
    </row>
    <row r="53" spans="2:31" x14ac:dyDescent="0.25">
      <c r="O53" s="82">
        <v>0.98</v>
      </c>
      <c r="P53" s="82">
        <f t="shared" si="9"/>
        <v>29.223600000000001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7">
        <f t="shared" si="2"/>
        <v>-4.1903621670156266E-3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28.9254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7">
        <f t="shared" si="2"/>
        <v>-1.6485133941713359E-2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28.627199999999998</v>
      </c>
      <c r="T55" s="92" t="s">
        <v>108</v>
      </c>
      <c r="U55" s="87" t="s">
        <v>676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7">
        <f t="shared" si="2"/>
        <v>-4.9794961921499903E-3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28.329000000000001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7">
        <f t="shared" si="2"/>
        <v>-1.8401380103507781E-2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28.030799999999999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7">
        <f t="shared" si="2"/>
        <v>1.7281105990785139E-3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27.732600000000001</v>
      </c>
      <c r="T58" s="92" t="s">
        <v>109</v>
      </c>
      <c r="U58" s="87" t="s">
        <v>605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7">
        <f t="shared" si="2"/>
        <v>2.1777516185991885E-2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27.4344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7">
        <f t="shared" si="2"/>
        <v>1.7365269461077748E-2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27.136200000000002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7">
        <f t="shared" si="2"/>
        <v>1.3657056145675028E-2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26.838000000000001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7">
        <f t="shared" si="2"/>
        <v>-3.6286664650739819E-3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7">
        <f t="shared" si="2"/>
        <v>8.2317073170732336E-3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7">
        <f t="shared" si="2"/>
        <v>-5.7593210063656697E-3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7">
        <f t="shared" si="2"/>
        <v>-3.0220610456331842E-3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7">
        <f t="shared" si="2"/>
        <v>-9.0579710144911285E-4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O66" s="11" t="s">
        <v>780</v>
      </c>
      <c r="S66" s="23" t="s">
        <v>779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7">
        <f t="shared" si="2"/>
        <v>-1.4285714285714457E-2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935" priority="49">
      <formula>F58&gt;0</formula>
    </cfRule>
    <cfRule type="expression" dxfId="934" priority="50">
      <formula>F58&lt;0</formula>
    </cfRule>
  </conditionalFormatting>
  <conditionalFormatting sqref="F63:F76 F79:F123 F126:F127">
    <cfRule type="expression" dxfId="933" priority="45">
      <formula>F63&gt;0</formula>
    </cfRule>
    <cfRule type="expression" dxfId="932" priority="46">
      <formula>F63&lt;0</formula>
    </cfRule>
  </conditionalFormatting>
  <conditionalFormatting sqref="F63:F76 F79:F123 F126:F127">
    <cfRule type="expression" dxfId="931" priority="47">
      <formula>F63&gt;0</formula>
    </cfRule>
    <cfRule type="expression" dxfId="930" priority="48">
      <formula>F63&lt;0</formula>
    </cfRule>
  </conditionalFormatting>
  <conditionalFormatting sqref="H58:H76 H79:H123 H126:H127">
    <cfRule type="expression" dxfId="929" priority="43">
      <formula>H58&gt;0</formula>
    </cfRule>
    <cfRule type="expression" dxfId="928" priority="44">
      <formula>H58&lt;0</formula>
    </cfRule>
  </conditionalFormatting>
  <conditionalFormatting sqref="F54:F57">
    <cfRule type="expression" dxfId="927" priority="37">
      <formula>F54&gt;0</formula>
    </cfRule>
    <cfRule type="expression" dxfId="926" priority="38">
      <formula>F54&lt;0</formula>
    </cfRule>
  </conditionalFormatting>
  <conditionalFormatting sqref="H54:H57">
    <cfRule type="expression" dxfId="925" priority="35">
      <formula>H54&gt;0</formula>
    </cfRule>
    <cfRule type="expression" dxfId="924" priority="36">
      <formula>H54&lt;0</formula>
    </cfRule>
  </conditionalFormatting>
  <conditionalFormatting sqref="Q8">
    <cfRule type="expression" dxfId="923" priority="31">
      <formula>Q8&gt;0</formula>
    </cfRule>
    <cfRule type="expression" dxfId="922" priority="32">
      <formula>Q8&lt;0</formula>
    </cfRule>
  </conditionalFormatting>
  <conditionalFormatting sqref="Q7">
    <cfRule type="expression" dxfId="921" priority="33">
      <formula>Q7&gt;0</formula>
    </cfRule>
    <cfRule type="expression" dxfId="920" priority="34">
      <formula>Q7&lt;0</formula>
    </cfRule>
  </conditionalFormatting>
  <conditionalFormatting sqref="F77">
    <cfRule type="expression" dxfId="919" priority="27">
      <formula>F77&gt;0</formula>
    </cfRule>
    <cfRule type="expression" dxfId="918" priority="28">
      <formula>F77&lt;0</formula>
    </cfRule>
  </conditionalFormatting>
  <conditionalFormatting sqref="F77">
    <cfRule type="expression" dxfId="917" priority="29">
      <formula>F77&gt;0</formula>
    </cfRule>
    <cfRule type="expression" dxfId="916" priority="30">
      <formula>F77&lt;0</formula>
    </cfRule>
  </conditionalFormatting>
  <conditionalFormatting sqref="H77">
    <cfRule type="expression" dxfId="915" priority="25">
      <formula>H77&gt;0</formula>
    </cfRule>
    <cfRule type="expression" dxfId="914" priority="26">
      <formula>H77&lt;0</formula>
    </cfRule>
  </conditionalFormatting>
  <conditionalFormatting sqref="F78">
    <cfRule type="expression" dxfId="913" priority="21">
      <formula>F78&gt;0</formula>
    </cfRule>
    <cfRule type="expression" dxfId="912" priority="22">
      <formula>F78&lt;0</formula>
    </cfRule>
  </conditionalFormatting>
  <conditionalFormatting sqref="F78">
    <cfRule type="expression" dxfId="911" priority="23">
      <formula>F78&gt;0</formula>
    </cfRule>
    <cfRule type="expression" dxfId="910" priority="24">
      <formula>F78&lt;0</formula>
    </cfRule>
  </conditionalFormatting>
  <conditionalFormatting sqref="H78">
    <cfRule type="expression" dxfId="909" priority="19">
      <formula>H78&gt;0</formula>
    </cfRule>
    <cfRule type="expression" dxfId="908" priority="20">
      <formula>H78&lt;0</formula>
    </cfRule>
  </conditionalFormatting>
  <conditionalFormatting sqref="F124:F125">
    <cfRule type="expression" dxfId="907" priority="15">
      <formula>F124&gt;0</formula>
    </cfRule>
    <cfRule type="expression" dxfId="906" priority="16">
      <formula>F124&lt;0</formula>
    </cfRule>
  </conditionalFormatting>
  <conditionalFormatting sqref="F124:F125">
    <cfRule type="expression" dxfId="905" priority="17">
      <formula>F124&gt;0</formula>
    </cfRule>
    <cfRule type="expression" dxfId="904" priority="18">
      <formula>F124&lt;0</formula>
    </cfRule>
  </conditionalFormatting>
  <conditionalFormatting sqref="H124:H125">
    <cfRule type="expression" dxfId="903" priority="13">
      <formula>H124&gt;0</formula>
    </cfRule>
    <cfRule type="expression" dxfId="902" priority="14">
      <formula>H124&lt;0</formula>
    </cfRule>
  </conditionalFormatting>
  <conditionalFormatting sqref="F35:F48">
    <cfRule type="expression" dxfId="901" priority="11">
      <formula>F35&gt;0</formula>
    </cfRule>
    <cfRule type="expression" dxfId="900" priority="12">
      <formula>F35&lt;0</formula>
    </cfRule>
  </conditionalFormatting>
  <conditionalFormatting sqref="H35:H48">
    <cfRule type="expression" dxfId="899" priority="9">
      <formula>H35&gt;0</formula>
    </cfRule>
    <cfRule type="expression" dxfId="898" priority="10">
      <formula>H35&lt;0</formula>
    </cfRule>
  </conditionalFormatting>
  <conditionalFormatting sqref="Q10">
    <cfRule type="expression" dxfId="897" priority="7">
      <formula>Q10&gt;0</formula>
    </cfRule>
    <cfRule type="expression" dxfId="896" priority="8">
      <formula>Q10&lt;0</formula>
    </cfRule>
  </conditionalFormatting>
  <conditionalFormatting sqref="J45:K45">
    <cfRule type="expression" dxfId="895" priority="5">
      <formula>J45&gt;0</formula>
    </cfRule>
    <cfRule type="expression" dxfId="894" priority="6">
      <formula>J45&lt;0</formula>
    </cfRule>
  </conditionalFormatting>
  <conditionalFormatting sqref="K46">
    <cfRule type="expression" dxfId="893" priority="3">
      <formula>K46&gt;0</formula>
    </cfRule>
    <cfRule type="expression" dxfId="892" priority="4">
      <formula>K46&lt;0</formula>
    </cfRule>
  </conditionalFormatting>
  <conditionalFormatting sqref="K47:K51">
    <cfRule type="expression" dxfId="891" priority="1">
      <formula>K47&gt;0</formula>
    </cfRule>
    <cfRule type="expression" dxfId="890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11.14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7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11.14</v>
      </c>
      <c r="R4" s="499">
        <v>8.9999999999999998E-4</v>
      </c>
      <c r="T4" s="162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7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7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7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7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7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7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7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7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7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7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7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7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7" t="e">
        <f t="shared" si="1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7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7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7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7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7" t="e">
        <f t="shared" si="1"/>
        <v>#DIV/0!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7" t="e">
        <f t="shared" si="1"/>
        <v>#DIV/0!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7" t="e">
        <f t="shared" si="1"/>
        <v>#DIV/0!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7" t="e">
        <f t="shared" si="1"/>
        <v>#DIV/0!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7" t="e">
        <f t="shared" si="1"/>
        <v>#DIV/0!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7" t="e">
        <f t="shared" si="1"/>
        <v>#DIV/0!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7" t="e">
        <f t="shared" si="1"/>
        <v>#DIV/0!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7" t="e">
        <f t="shared" si="1"/>
        <v>#DIV/0!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7" t="e">
        <f t="shared" si="1"/>
        <v>#DIV/0!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7" t="e">
        <f t="shared" si="1"/>
        <v>#DIV/0!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7" t="e">
        <f t="shared" si="1"/>
        <v>#DIV/0!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7" t="e">
        <f t="shared" si="1"/>
        <v>#DIV/0!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7" t="e">
        <f t="shared" si="1"/>
        <v>#DIV/0!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7" t="e">
        <f t="shared" si="1"/>
        <v>#DIV/0!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7" t="e">
        <f t="shared" si="1"/>
        <v>#DIV/0!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7" t="e">
        <f t="shared" si="1"/>
        <v>#DIV/0!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7" t="e">
        <f t="shared" si="1"/>
        <v>#DIV/0!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12.254000000000001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7" t="e">
        <f t="shared" si="1"/>
        <v>#DIV/0!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12.142600000000002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7" t="e">
        <f t="shared" si="1"/>
        <v>#DIV/0!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12.031200000000002</v>
      </c>
      <c r="Q43" s="2"/>
      <c r="T43" s="127" t="s">
        <v>98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7" t="e">
        <f t="shared" si="1"/>
        <v>#DIV/0!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11.919800000000002</v>
      </c>
      <c r="Q44" s="2"/>
      <c r="T44" s="92" t="s">
        <v>99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7" t="e">
        <f t="shared" si="1"/>
        <v>#DIV/0!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11.808400000000001</v>
      </c>
      <c r="Q45" s="2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7" t="e">
        <f t="shared" si="1"/>
        <v>#DIV/0!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11.697000000000001</v>
      </c>
      <c r="Q46" s="2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7" t="e">
        <f t="shared" si="1"/>
        <v>#DIV/0!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11.585600000000001</v>
      </c>
      <c r="Q47" s="2"/>
      <c r="T47" s="92" t="s">
        <v>102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7" t="e">
        <f t="shared" si="1"/>
        <v>#DIV/0!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11.474200000000002</v>
      </c>
      <c r="Q48" s="2"/>
      <c r="T48" s="92" t="s">
        <v>103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7" t="e">
        <f t="shared" si="1"/>
        <v>#DIV/0!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11.3628</v>
      </c>
      <c r="Q49" s="2"/>
      <c r="T49" s="92" t="s">
        <v>104</v>
      </c>
      <c r="U49" s="87" t="s">
        <v>398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7" t="e">
        <f t="shared" si="1"/>
        <v>#DIV/0!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11.2514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7" t="e">
        <f t="shared" si="1"/>
        <v>#DIV/0!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11.14</v>
      </c>
      <c r="Q51" s="2"/>
      <c r="T51" s="92" t="s">
        <v>105</v>
      </c>
      <c r="U51" s="87" t="s">
        <v>677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7" t="e">
        <f t="shared" si="1"/>
        <v>#DIV/0!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11.028600000000001</v>
      </c>
      <c r="Q52" s="2"/>
      <c r="T52" s="92" t="s">
        <v>106</v>
      </c>
      <c r="U52" s="87" t="s">
        <v>416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7" t="e">
        <f t="shared" si="1"/>
        <v>#DIV/0!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10.917200000000001</v>
      </c>
      <c r="Q53" s="2"/>
      <c r="T53" s="92" t="s">
        <v>107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7" t="e">
        <f t="shared" si="1"/>
        <v>#DIV/0!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10.8058</v>
      </c>
      <c r="T54" s="92" t="s">
        <v>110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7" t="e">
        <f t="shared" si="1"/>
        <v>#DIV/0!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10.6944</v>
      </c>
      <c r="T55" s="92" t="s">
        <v>108</v>
      </c>
      <c r="U55" s="87" t="s">
        <v>678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7" t="e">
        <f t="shared" si="1"/>
        <v>#DIV/0!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10.583</v>
      </c>
      <c r="T56" s="92" t="s">
        <v>111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7" t="e">
        <f t="shared" si="1"/>
        <v>#DIV/0!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10.4716</v>
      </c>
      <c r="T57" s="92" t="s">
        <v>112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7" t="e">
        <f t="shared" si="1"/>
        <v>#DIV/0!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10.360200000000001</v>
      </c>
      <c r="T58" s="92" t="s">
        <v>109</v>
      </c>
      <c r="U58" s="87" t="s">
        <v>596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7" t="e">
        <f t="shared" si="1"/>
        <v>#DIV/0!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10.248800000000001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7" t="e">
        <f t="shared" si="1"/>
        <v>#DIV/0!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10.137400000000001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7" t="e">
        <f t="shared" si="1"/>
        <v>#DIV/0!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10.026000000000002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7" t="e">
        <f t="shared" si="1"/>
        <v>#DIV/0!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7" t="e">
        <f t="shared" si="1"/>
        <v>#DIV/0!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7" t="e">
        <f t="shared" si="1"/>
        <v>#DIV/0!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7" t="e">
        <f t="shared" si="1"/>
        <v>#DIV/0!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7" t="e">
        <f t="shared" si="1"/>
        <v>#DIV/0!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7" t="e">
        <f t="shared" si="1"/>
        <v>#DIV/0!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89" priority="25">
      <formula>F30&gt;0</formula>
    </cfRule>
    <cfRule type="expression" dxfId="888" priority="26">
      <formula>F30&lt;0</formula>
    </cfRule>
  </conditionalFormatting>
  <conditionalFormatting sqref="F34:F42 F46:F74">
    <cfRule type="expression" dxfId="887" priority="21">
      <formula>F34&gt;0</formula>
    </cfRule>
    <cfRule type="expression" dxfId="886" priority="22">
      <formula>F34&lt;0</formula>
    </cfRule>
  </conditionalFormatting>
  <conditionalFormatting sqref="F34:F42 F46:F74">
    <cfRule type="expression" dxfId="885" priority="23">
      <formula>F34&gt;0</formula>
    </cfRule>
    <cfRule type="expression" dxfId="884" priority="24">
      <formula>F34&lt;0</formula>
    </cfRule>
  </conditionalFormatting>
  <conditionalFormatting sqref="H30:H42 H46:H74">
    <cfRule type="expression" dxfId="883" priority="19">
      <formula>H30&gt;0</formula>
    </cfRule>
    <cfRule type="expression" dxfId="882" priority="20">
      <formula>H30&lt;0</formula>
    </cfRule>
  </conditionalFormatting>
  <conditionalFormatting sqref="F25:F29">
    <cfRule type="expression" dxfId="881" priority="13">
      <formula>F25&gt;0</formula>
    </cfRule>
    <cfRule type="expression" dxfId="880" priority="14">
      <formula>F25&lt;0</formula>
    </cfRule>
  </conditionalFormatting>
  <conditionalFormatting sqref="H25:H29">
    <cfRule type="expression" dxfId="879" priority="11">
      <formula>H25&gt;0</formula>
    </cfRule>
    <cfRule type="expression" dxfId="878" priority="12">
      <formula>H25&lt;0</formula>
    </cfRule>
  </conditionalFormatting>
  <conditionalFormatting sqref="Q7">
    <cfRule type="expression" dxfId="877" priority="9">
      <formula>Q7&gt;0</formula>
    </cfRule>
    <cfRule type="expression" dxfId="876" priority="10">
      <formula>Q7&lt;0</formula>
    </cfRule>
  </conditionalFormatting>
  <conditionalFormatting sqref="Q8">
    <cfRule type="expression" dxfId="875" priority="7">
      <formula>Q8&gt;0</formula>
    </cfRule>
    <cfRule type="expression" dxfId="874" priority="8">
      <formula>Q8&lt;0</formula>
    </cfRule>
  </conditionalFormatting>
  <conditionalFormatting sqref="F43:F45">
    <cfRule type="expression" dxfId="873" priority="3">
      <formula>F43&gt;0</formula>
    </cfRule>
    <cfRule type="expression" dxfId="872" priority="4">
      <formula>F43&lt;0</formula>
    </cfRule>
  </conditionalFormatting>
  <conditionalFormatting sqref="F43:F45">
    <cfRule type="expression" dxfId="871" priority="5">
      <formula>F43&gt;0</formula>
    </cfRule>
    <cfRule type="expression" dxfId="870" priority="6">
      <formula>F43&lt;0</formula>
    </cfRule>
  </conditionalFormatting>
  <conditionalFormatting sqref="H43:H45">
    <cfRule type="expression" dxfId="869" priority="1">
      <formula>H43&gt;0</formula>
    </cfRule>
    <cfRule type="expression" dxfId="86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7">
        <f>AC2/AC3-1</f>
        <v>9.6246390760335032E-4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121.82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7">
        <f t="shared" ref="AE3:AE66" si="1">AC3/AC4-1</f>
        <v>-8.0198893255167825E-5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121.82</v>
      </c>
      <c r="R4" s="499">
        <v>-3.1E-2</v>
      </c>
      <c r="T4" s="162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7">
        <f t="shared" si="1"/>
        <v>1.1240465676434219E-3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7">
        <f t="shared" si="1"/>
        <v>-8.8240012834905901E-4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7">
        <f t="shared" si="1"/>
        <v>-2.0813320525135959E-3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7">
        <f t="shared" si="1"/>
        <v>-5.8889065732929957E-3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7">
        <f t="shared" si="1"/>
        <v>-1.1128775834657878E-3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7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7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7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7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7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7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7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7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7">
        <f t="shared" si="1"/>
        <v>1.5033451397087783E-2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7">
        <f t="shared" si="1"/>
        <v>2.9207451847172994E-3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7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7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7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7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7">
        <f t="shared" si="1"/>
        <v>9.7001050844713887E-4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7">
        <f t="shared" si="1"/>
        <v>-6.4625575571541916E-4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7">
        <f t="shared" si="1"/>
        <v>1.2941842594840214E-3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7">
        <f t="shared" si="1"/>
        <v>-1.8569352494752778E-3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7">
        <f t="shared" si="1"/>
        <v>1.3501350135013634E-2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7">
        <f t="shared" si="1"/>
        <v>-1.5522875816994519E-3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7">
        <f t="shared" si="1"/>
        <v>-2.6888291371303108E-3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7" t="e">
        <f t="shared" si="1"/>
        <v>#DIV/0!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7">
        <f t="shared" si="1"/>
        <v>1.8276762402088753E-2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7">
        <f t="shared" si="1"/>
        <v>-1.1777572137628978E-3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7">
        <f t="shared" si="1"/>
        <v>6.6903794037940223E-3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7">
        <f t="shared" si="1"/>
        <v>6.6496163682865372E-3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7">
        <f t="shared" si="1"/>
        <v>7.4723009533623763E-3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7">
        <f t="shared" si="1"/>
        <v>7.1799307958477776E-3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7">
        <f t="shared" si="1"/>
        <v>4.1695621959694229E-3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7">
        <f t="shared" si="1"/>
        <v>5.5904961565338418E-3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7">
        <f t="shared" si="1"/>
        <v>1.0147357275213986E-2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134.00200000000001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7">
        <f t="shared" si="1"/>
        <v>6.0363959165556924E-3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132.78380000000001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7">
        <f t="shared" si="1"/>
        <v>-7.096602501551752E-4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131.56559999999999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7">
        <f t="shared" si="1"/>
        <v>7.1016422547720559E-4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130.34739999999999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7">
        <f t="shared" si="1"/>
        <v>-2.1259633271325518E-3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129.1292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7">
        <f t="shared" si="1"/>
        <v>6.2045736571536558E-4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127.911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7">
        <f t="shared" si="1"/>
        <v>2.9335940972530228E-3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126.69279999999999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7">
        <f t="shared" si="1"/>
        <v>-1.7776197671326432E-4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125.4746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7">
        <f t="shared" si="1"/>
        <v>1.0677106504137779E-3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124.2564</v>
      </c>
      <c r="Q49" s="2"/>
      <c r="T49" s="92" t="s">
        <v>104</v>
      </c>
      <c r="U49" s="129" t="s">
        <v>381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7">
        <f t="shared" si="1"/>
        <v>-2.1308709935186076E-3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123.03819999999999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7">
        <f t="shared" si="1"/>
        <v>1.3771377137713703E-2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121.82</v>
      </c>
      <c r="Q51" s="2"/>
      <c r="T51" s="92" t="s">
        <v>105</v>
      </c>
      <c r="U51" s="129" t="s">
        <v>679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7">
        <f t="shared" si="1"/>
        <v>-8.5668391932893773E-3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120.6018</v>
      </c>
      <c r="Q52" s="2"/>
      <c r="T52" s="92" t="s">
        <v>106</v>
      </c>
      <c r="U52" s="129" t="s">
        <v>680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7">
        <f t="shared" si="1"/>
        <v>9.2767720435917855E-3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119.38359999999999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7">
        <f t="shared" si="1"/>
        <v>-1.8822905620360486E-2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118.16539999999999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7">
        <f t="shared" si="1"/>
        <v>-2.1164021164021829E-3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116.9472</v>
      </c>
      <c r="T55" s="92" t="s">
        <v>108</v>
      </c>
      <c r="U55" s="129" t="s">
        <v>681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7">
        <f t="shared" si="1"/>
        <v>-4.4072278536799736E-4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115.72899999999998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7">
        <f t="shared" si="1"/>
        <v>-4.3878894251865308E-3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114.51079999999999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7">
        <f t="shared" si="1"/>
        <v>-1.4021558145648205E-3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113.29259999999999</v>
      </c>
      <c r="T58" s="92" t="s">
        <v>109</v>
      </c>
      <c r="U58" s="129" t="s">
        <v>606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7">
        <f t="shared" si="1"/>
        <v>2.283706631532656E-3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112.0744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7">
        <f t="shared" si="1"/>
        <v>-1.7563888644955838E-4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110.8562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7">
        <f t="shared" si="1"/>
        <v>-9.6508159326191834E-4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109.63799999999999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7">
        <f t="shared" si="1"/>
        <v>-1.2305025996533825E-2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7">
        <f t="shared" si="1"/>
        <v>-1.0387811634348099E-3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7">
        <f t="shared" si="1"/>
        <v>-1.7310022503036482E-4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7">
        <f t="shared" si="1"/>
        <v>-4.7377035059005257E-3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7">
        <f t="shared" si="1"/>
        <v>1.044477326138038E-2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7">
        <f t="shared" si="1"/>
        <v>-1.6510253736531366E-3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5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5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5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385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428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445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67" priority="19">
      <formula>F25&gt;0</formula>
    </cfRule>
    <cfRule type="expression" dxfId="866" priority="20">
      <formula>F25&lt;0</formula>
    </cfRule>
  </conditionalFormatting>
  <conditionalFormatting sqref="Q7">
    <cfRule type="expression" dxfId="865" priority="17">
      <formula>Q7&gt;0</formula>
    </cfRule>
    <cfRule type="expression" dxfId="864" priority="18">
      <formula>Q7&lt;0</formula>
    </cfRule>
  </conditionalFormatting>
  <conditionalFormatting sqref="Q8">
    <cfRule type="expression" dxfId="863" priority="15">
      <formula>Q8&gt;0</formula>
    </cfRule>
    <cfRule type="expression" dxfId="862" priority="16">
      <formula>Q8&lt;0</formula>
    </cfRule>
  </conditionalFormatting>
  <conditionalFormatting sqref="M74">
    <cfRule type="expression" dxfId="861" priority="9">
      <formula>M74&gt;0</formula>
    </cfRule>
    <cfRule type="expression" dxfId="860" priority="10">
      <formula>M74&lt;0</formula>
    </cfRule>
  </conditionalFormatting>
  <conditionalFormatting sqref="F113:F149 H113:H149">
    <cfRule type="expression" dxfId="859" priority="7">
      <formula>F113&gt;0</formula>
    </cfRule>
    <cfRule type="expression" dxfId="858" priority="8">
      <formula>F113&lt;0</formula>
    </cfRule>
  </conditionalFormatting>
  <conditionalFormatting sqref="F105:F112">
    <cfRule type="expression" dxfId="857" priority="5">
      <formula>F105&gt;0</formula>
    </cfRule>
    <cfRule type="expression" dxfId="856" priority="6">
      <formula>F105&lt;0</formula>
    </cfRule>
  </conditionalFormatting>
  <conditionalFormatting sqref="H105:H112">
    <cfRule type="expression" dxfId="855" priority="3">
      <formula>H105&gt;0</formula>
    </cfRule>
    <cfRule type="expression" dxfId="854" priority="4">
      <formula>H105&lt;0</formula>
    </cfRule>
  </conditionalFormatting>
  <conditionalFormatting sqref="Q10">
    <cfRule type="expression" dxfId="853" priority="1">
      <formula>Q10&gt;0</formula>
    </cfRule>
    <cfRule type="expression" dxfId="85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2200</v>
      </c>
      <c r="T2" s="157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7">
        <f>AC2/AC3-1</f>
        <v>1.0082493125572745E-2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23.215586363636433</v>
      </c>
      <c r="T3" s="162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7">
        <f t="shared" ref="AE3:AE66" si="2">AC3/AC4-1</f>
        <v>-1.8298261665141702E-3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10.93</v>
      </c>
      <c r="R4" s="499">
        <v>7.4000000000000003E-3</v>
      </c>
      <c r="T4" s="1" t="s">
        <v>490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7">
        <f t="shared" si="2"/>
        <v>-1.0859728506787403E-2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24046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7">
        <f t="shared" si="2"/>
        <v>2.031394275161591E-2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51074.290000000154</v>
      </c>
      <c r="T6" t="s">
        <v>491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7">
        <f t="shared" si="2"/>
        <v>-7.3327222731439656E-3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-27028.290000000154</v>
      </c>
      <c r="R7">
        <v>1700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7">
        <f t="shared" si="2"/>
        <v>1.4883720930232602E-2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-27028.290000000154</v>
      </c>
      <c r="R8" s="165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7">
        <f t="shared" si="2"/>
        <v>-1.8570102135561095E-3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-0.5291956089844827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7">
        <f t="shared" si="2"/>
        <v>-2.7777777777778789E-3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7">
        <f t="shared" si="2"/>
        <v>6.5237651444547406E-3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7">
        <f t="shared" si="2"/>
        <v>6.5666041275798115E-3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7">
        <f t="shared" si="2"/>
        <v>-2.2018348623853212E-2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7">
        <f t="shared" si="2"/>
        <v>2.3474178403755763E-2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7">
        <f t="shared" si="2"/>
        <v>-2.1139705882353033E-2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7">
        <f t="shared" si="2"/>
        <v>-2.857142857142847E-2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7">
        <f t="shared" si="2"/>
        <v>1.3574660633484115E-2</v>
      </c>
    </row>
    <row r="17" spans="2:42" x14ac:dyDescent="0.25">
      <c r="B17" s="454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6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7">
        <f t="shared" si="2"/>
        <v>2.6951672862453702E-2</v>
      </c>
      <c r="AL17" s="233"/>
      <c r="AO17" s="233"/>
      <c r="AP17" s="233"/>
    </row>
    <row r="18" spans="2:42" x14ac:dyDescent="0.25">
      <c r="B18" s="454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6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7">
        <f t="shared" si="2"/>
        <v>-1.3748854262144894E-2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7">
        <f t="shared" si="2"/>
        <v>-9.0826521344232747E-3</v>
      </c>
      <c r="AL19" s="233"/>
      <c r="AO19" s="233"/>
    </row>
    <row r="20" spans="2:42" x14ac:dyDescent="0.25">
      <c r="B20" s="454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3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7">
        <f t="shared" si="2"/>
        <v>-6.3176895306858993E-3</v>
      </c>
    </row>
    <row r="21" spans="2:42" x14ac:dyDescent="0.25">
      <c r="B21" s="454">
        <v>42227</v>
      </c>
      <c r="C21" s="4">
        <v>100</v>
      </c>
      <c r="D21" s="239">
        <v>17.100000000000001</v>
      </c>
      <c r="E21" s="3">
        <v>0</v>
      </c>
      <c r="F21" s="3">
        <f t="shared" si="0"/>
        <v>1710.0000000000002</v>
      </c>
      <c r="G21" s="453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7">
        <f t="shared" si="2"/>
        <v>1.0027347310847645E-2</v>
      </c>
    </row>
    <row r="22" spans="2:42" x14ac:dyDescent="0.25">
      <c r="B22" s="454">
        <v>42229</v>
      </c>
      <c r="C22" s="4">
        <v>100</v>
      </c>
      <c r="D22" s="239">
        <v>16.89</v>
      </c>
      <c r="E22" s="3">
        <v>0</v>
      </c>
      <c r="F22" s="3">
        <f t="shared" si="0"/>
        <v>1689</v>
      </c>
      <c r="G22" s="453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7">
        <f t="shared" si="2"/>
        <v>-2.4021352313167266E-2</v>
      </c>
    </row>
    <row r="23" spans="2:42" x14ac:dyDescent="0.25">
      <c r="B23" s="454">
        <v>42233</v>
      </c>
      <c r="C23" s="4">
        <v>100</v>
      </c>
      <c r="D23" s="239">
        <v>16.5</v>
      </c>
      <c r="E23" s="3">
        <v>0</v>
      </c>
      <c r="F23" s="3">
        <f t="shared" si="0"/>
        <v>1650</v>
      </c>
      <c r="G23" s="453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7">
        <f t="shared" si="2"/>
        <v>-3.8494439692044469E-2</v>
      </c>
    </row>
    <row r="24" spans="2:42" x14ac:dyDescent="0.25">
      <c r="B24" s="454">
        <v>42234</v>
      </c>
      <c r="C24" s="4">
        <v>100</v>
      </c>
      <c r="D24" s="239">
        <v>16.600000000000001</v>
      </c>
      <c r="E24" s="3">
        <v>0</v>
      </c>
      <c r="F24" s="3">
        <f t="shared" si="0"/>
        <v>1660.0000000000002</v>
      </c>
      <c r="G24" s="453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7">
        <f t="shared" si="2"/>
        <v>-1.433389544688024E-2</v>
      </c>
    </row>
    <row r="25" spans="2:42" x14ac:dyDescent="0.25">
      <c r="B25" s="454">
        <v>42244</v>
      </c>
      <c r="C25" s="4">
        <v>200</v>
      </c>
      <c r="D25" s="239">
        <v>15.4</v>
      </c>
      <c r="E25" s="3">
        <v>0</v>
      </c>
      <c r="F25" s="3">
        <f t="shared" ref="F25:F36" si="4">C25*D25</f>
        <v>3080</v>
      </c>
      <c r="G25" s="453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7">
        <f t="shared" si="2"/>
        <v>0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7">
        <f t="shared" si="2"/>
        <v>2.0654044750430423E-2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7">
        <f t="shared" si="2"/>
        <v>-7.6857386848848686E-3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7">
        <f t="shared" si="2"/>
        <v>8.5470085470107371E-4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7">
        <f t="shared" si="2"/>
        <v>-5.1020408163265918E-3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7">
        <f t="shared" si="2"/>
        <v>-3.3898305084746339E-3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7">
        <f t="shared" si="2"/>
        <v>8.4817642069556776E-4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7">
        <f t="shared" si="2"/>
        <v>4.2589437819420262E-3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7">
        <f t="shared" si="2"/>
        <v>2.3539668700959027E-2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7">
        <f t="shared" si="2"/>
        <v>-7.7854671280276344E-3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7">
        <f t="shared" si="2"/>
        <v>-1.112061591103497E-2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7">
        <f t="shared" si="2"/>
        <v>2.9049295774647987E-2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7">
        <f t="shared" si="2"/>
        <v>-2.9888983774551736E-2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7">
        <f t="shared" si="2"/>
        <v>5.1502145922748266E-3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7">
        <f t="shared" si="2"/>
        <v>5.1444043321299704E-2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7">
        <f t="shared" si="2"/>
        <v>-2.9772329246935181E-2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7">
        <f t="shared" si="2"/>
        <v>2.8828828828828756E-2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7">
        <f t="shared" si="2"/>
        <v>-1.7985611510791255E-3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12.023000000000001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7">
        <f t="shared" si="2"/>
        <v>-4.549356223175971E-2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11.9137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7">
        <f t="shared" si="2"/>
        <v>1.2163336229365829E-2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11.804400000000001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11.6951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7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11.585800000000001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7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11.4765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7">
        <f t="shared" si="2"/>
        <v>-1.869158878504662E-2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11.3672</v>
      </c>
      <c r="Q49" s="2"/>
      <c r="T49" s="107" t="s">
        <v>104</v>
      </c>
      <c r="U49" s="105" t="s">
        <v>682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7">
        <f t="shared" si="2"/>
        <v>0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11.257899999999999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7">
        <f t="shared" si="2"/>
        <v>-3.3869602032177148E-3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11.1486</v>
      </c>
      <c r="Q51" s="2"/>
      <c r="T51" s="107" t="s">
        <v>105</v>
      </c>
      <c r="U51" s="105" t="s">
        <v>683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7">
        <f t="shared" si="2"/>
        <v>-2.5337837837837718E-3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11.039299999999999</v>
      </c>
      <c r="Q52" s="2"/>
      <c r="T52" s="107" t="s">
        <v>106</v>
      </c>
      <c r="U52" s="105" t="s">
        <v>564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7">
        <f t="shared" si="2"/>
        <v>1.1101622544833489E-2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10.93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7">
        <f t="shared" si="2"/>
        <v>-2.9826014913007404E-2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10.8207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7">
        <f t="shared" si="2"/>
        <v>-9.8441345365052335E-3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10.711399999999999</v>
      </c>
      <c r="T55" s="107" t="s">
        <v>108</v>
      </c>
      <c r="U55" s="105" t="s">
        <v>684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7">
        <f t="shared" si="2"/>
        <v>-8.1967213114753079E-4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10.6021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7">
        <f t="shared" si="2"/>
        <v>-1.6921837228041969E-2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10.492799999999999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7">
        <f t="shared" si="2"/>
        <v>1.4717906786590351E-2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10.3835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7">
        <f t="shared" si="2"/>
        <v>8.2440230832645511E-3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10.274199999999999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7">
        <f t="shared" si="2"/>
        <v>8.2508250825097385E-4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10.164900000000001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7">
        <f t="shared" si="2"/>
        <v>2.2784810126582178E-2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10.0556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7">
        <f t="shared" si="2"/>
        <v>1.6906170752324368E-3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9.9463000000000008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7">
        <f t="shared" si="2"/>
        <v>-1.988400994200501E-2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9.8369999999999997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7">
        <f t="shared" si="2"/>
        <v>3.5162950257289882E-2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7">
        <f t="shared" si="2"/>
        <v>-3.4188034188032956E-3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7">
        <f t="shared" si="2"/>
        <v>2.1834061135371119E-2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7">
        <f t="shared" si="2"/>
        <v>1.7497812773403787E-3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537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538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9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8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7">
        <v>200</v>
      </c>
      <c r="I95" s="78">
        <v>10.94</v>
      </c>
      <c r="J95" s="44">
        <v>0.05</v>
      </c>
      <c r="K95" s="44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4">
        <v>300</v>
      </c>
      <c r="I96" s="239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4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H98" s="4"/>
      <c r="I98" s="239"/>
      <c r="J98" s="3"/>
      <c r="K98" s="3"/>
      <c r="O98" s="1"/>
    </row>
    <row r="99" spans="1:15" x14ac:dyDescent="0.25">
      <c r="A99" s="70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4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8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41805</v>
      </c>
      <c r="D118" s="80"/>
      <c r="E118" s="14"/>
      <c r="F118" s="18">
        <f>SUM(F2:F117)</f>
        <v>587740.78</v>
      </c>
      <c r="G118" s="14"/>
      <c r="H118" s="14">
        <f>SUM(H2:H117)</f>
        <v>39605</v>
      </c>
      <c r="I118" s="80"/>
      <c r="J118" s="14"/>
      <c r="K118" s="18">
        <f>SUM(K2:K117)</f>
        <v>536666.48999999987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37805</v>
      </c>
      <c r="D119" s="355"/>
      <c r="E119" s="355"/>
      <c r="F119" s="356">
        <f>SumByColor($A$119,F2:F117)</f>
        <v>515730</v>
      </c>
      <c r="G119" s="355"/>
      <c r="H119" s="355">
        <f>SumByColor($A$119,H2:H117)</f>
        <v>37805</v>
      </c>
      <c r="I119" s="355"/>
      <c r="J119" s="355"/>
      <c r="K119" s="356">
        <f>SumByColor($A$119,K2:K117)</f>
        <v>515926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354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383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383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402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406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423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431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434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439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440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441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446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446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446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:F256" si="41">C254*(E254-D254)</f>
        <v>-27102.239999999998</v>
      </c>
      <c r="G254" s="40">
        <f t="shared" ref="G254:G256" si="42">IF(C254=0, 0,D254*C254)</f>
        <v>51104.24</v>
      </c>
      <c r="H254" s="231">
        <f t="shared" ref="H254:H256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A255">
        <v>1800</v>
      </c>
      <c r="B255" s="192">
        <v>42833</v>
      </c>
      <c r="C255" s="281">
        <v>2500</v>
      </c>
      <c r="D255" s="282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1">
        <f t="shared" si="43"/>
        <v>-0.51510407073125808</v>
      </c>
      <c r="I255" s="199"/>
      <c r="J255" s="40"/>
      <c r="K255" s="40"/>
    </row>
    <row r="256" spans="1:11" x14ac:dyDescent="0.25">
      <c r="A256">
        <v>1500</v>
      </c>
      <c r="B256" s="192">
        <v>42837</v>
      </c>
      <c r="C256" s="281">
        <v>2200</v>
      </c>
      <c r="D256" s="282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1">
        <f t="shared" si="43"/>
        <v>-0.54297952367353142</v>
      </c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51" priority="74">
      <formula>F12&gt;0</formula>
    </cfRule>
    <cfRule type="expression" dxfId="85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49" priority="67">
      <formula>F124&gt;0</formula>
    </cfRule>
    <cfRule type="expression" dxfId="848" priority="68">
      <formula>F124&lt;0</formula>
    </cfRule>
  </conditionalFormatting>
  <conditionalFormatting sqref="H124:H130">
    <cfRule type="expression" dxfId="847" priority="55">
      <formula>H124&gt;0</formula>
    </cfRule>
    <cfRule type="expression" dxfId="846" priority="56">
      <formula>H124&lt;0</formula>
    </cfRule>
  </conditionalFormatting>
  <conditionalFormatting sqref="H131">
    <cfRule type="expression" dxfId="845" priority="53">
      <formula>H131&gt;0</formula>
    </cfRule>
    <cfRule type="expression" dxfId="844" priority="54">
      <formula>H131&lt;0</formula>
    </cfRule>
  </conditionalFormatting>
  <conditionalFormatting sqref="H132">
    <cfRule type="expression" dxfId="843" priority="51">
      <formula>H132&gt;0</formula>
    </cfRule>
    <cfRule type="expression" dxfId="842" priority="52">
      <formula>H132&lt;0</formula>
    </cfRule>
  </conditionalFormatting>
  <conditionalFormatting sqref="H133:H135">
    <cfRule type="expression" dxfId="841" priority="49">
      <formula>H133&gt;0</formula>
    </cfRule>
    <cfRule type="expression" dxfId="840" priority="50">
      <formula>H133&lt;0</formula>
    </cfRule>
  </conditionalFormatting>
  <conditionalFormatting sqref="H136">
    <cfRule type="expression" dxfId="839" priority="45">
      <formula>H136&gt;0</formula>
    </cfRule>
    <cfRule type="expression" dxfId="838" priority="46">
      <formula>H136&lt;0</formula>
    </cfRule>
  </conditionalFormatting>
  <conditionalFormatting sqref="Q7">
    <cfRule type="expression" dxfId="837" priority="39">
      <formula>Q7&gt;0</formula>
    </cfRule>
    <cfRule type="expression" dxfId="836" priority="40">
      <formula>Q7&lt;0</formula>
    </cfRule>
  </conditionalFormatting>
  <conditionalFormatting sqref="Q8">
    <cfRule type="expression" dxfId="835" priority="37">
      <formula>Q8&gt;0</formula>
    </cfRule>
    <cfRule type="expression" dxfId="834" priority="38">
      <formula>Q8&lt;0</formula>
    </cfRule>
  </conditionalFormatting>
  <conditionalFormatting sqref="F167:F178 H167:H178">
    <cfRule type="expression" dxfId="833" priority="35">
      <formula>F167&gt;0</formula>
    </cfRule>
    <cfRule type="expression" dxfId="832" priority="36">
      <formula>F167&lt;0</formula>
    </cfRule>
  </conditionalFormatting>
  <conditionalFormatting sqref="F183:F197 H183:H197">
    <cfRule type="expression" dxfId="831" priority="33">
      <formula>F183&gt;0</formula>
    </cfRule>
    <cfRule type="expression" dxfId="830" priority="34">
      <formula>F183&lt;0</formula>
    </cfRule>
  </conditionalFormatting>
  <conditionalFormatting sqref="F198:F206 H198:H206">
    <cfRule type="expression" dxfId="829" priority="31">
      <formula>F198&gt;0</formula>
    </cfRule>
    <cfRule type="expression" dxfId="828" priority="32">
      <formula>F198&lt;0</formula>
    </cfRule>
  </conditionalFormatting>
  <conditionalFormatting sqref="F141:F147 H141:H147">
    <cfRule type="expression" dxfId="827" priority="29">
      <formula>F141&gt;0</formula>
    </cfRule>
    <cfRule type="expression" dxfId="826" priority="30">
      <formula>F141&lt;0</formula>
    </cfRule>
  </conditionalFormatting>
  <conditionalFormatting sqref="H149:H152 F149:F152">
    <cfRule type="expression" dxfId="825" priority="27">
      <formula>F149&gt;0</formula>
    </cfRule>
    <cfRule type="expression" dxfId="824" priority="28">
      <formula>F149&lt;0</formula>
    </cfRule>
  </conditionalFormatting>
  <conditionalFormatting sqref="F226 H215:H218 H257:H260 F257:F260 H226 H231:H233 F231:F233 F235:F244 H235:H244">
    <cfRule type="expression" dxfId="823" priority="25">
      <formula>F215&gt;0</formula>
    </cfRule>
    <cfRule type="expression" dxfId="822" priority="26">
      <formula>F215&lt;0</formula>
    </cfRule>
  </conditionalFormatting>
  <conditionalFormatting sqref="F207:F218">
    <cfRule type="expression" dxfId="821" priority="23">
      <formula>F207&gt;0</formula>
    </cfRule>
    <cfRule type="expression" dxfId="820" priority="24">
      <formula>F207&lt;0</formula>
    </cfRule>
  </conditionalFormatting>
  <conditionalFormatting sqref="H207:H208">
    <cfRule type="expression" dxfId="819" priority="21">
      <formula>H207&gt;0</formula>
    </cfRule>
    <cfRule type="expression" dxfId="818" priority="22">
      <formula>H207&lt;0</formula>
    </cfRule>
  </conditionalFormatting>
  <conditionalFormatting sqref="H209">
    <cfRule type="expression" dxfId="817" priority="19">
      <formula>H209&gt;0</formula>
    </cfRule>
    <cfRule type="expression" dxfId="816" priority="20">
      <formula>H209&lt;0</formula>
    </cfRule>
  </conditionalFormatting>
  <conditionalFormatting sqref="H210">
    <cfRule type="expression" dxfId="815" priority="17">
      <formula>H210&gt;0</formula>
    </cfRule>
    <cfRule type="expression" dxfId="814" priority="18">
      <formula>H210&lt;0</formula>
    </cfRule>
  </conditionalFormatting>
  <conditionalFormatting sqref="H211:H213">
    <cfRule type="expression" dxfId="813" priority="15">
      <formula>H211&gt;0</formula>
    </cfRule>
    <cfRule type="expression" dxfId="812" priority="16">
      <formula>H211&lt;0</formula>
    </cfRule>
  </conditionalFormatting>
  <conditionalFormatting sqref="H214">
    <cfRule type="expression" dxfId="811" priority="13">
      <formula>H214&gt;0</formula>
    </cfRule>
    <cfRule type="expression" dxfId="810" priority="14">
      <formula>H214&lt;0</formula>
    </cfRule>
  </conditionalFormatting>
  <conditionalFormatting sqref="F245:F256 H245:H256">
    <cfRule type="expression" dxfId="809" priority="11">
      <formula>F245&gt;0</formula>
    </cfRule>
    <cfRule type="expression" dxfId="808" priority="12">
      <formula>F245&lt;0</formula>
    </cfRule>
  </conditionalFormatting>
  <conditionalFormatting sqref="F261:F275 H261:H275">
    <cfRule type="expression" dxfId="807" priority="9">
      <formula>F261&gt;0</formula>
    </cfRule>
    <cfRule type="expression" dxfId="806" priority="10">
      <formula>F261&lt;0</formula>
    </cfRule>
  </conditionalFormatting>
  <conditionalFormatting sqref="F276:F283 H276:H283">
    <cfRule type="expression" dxfId="805" priority="7">
      <formula>F276&gt;0</formula>
    </cfRule>
    <cfRule type="expression" dxfId="804" priority="8">
      <formula>F276&lt;0</formula>
    </cfRule>
  </conditionalFormatting>
  <conditionalFormatting sqref="F219:F225 H219:H225">
    <cfRule type="expression" dxfId="803" priority="5">
      <formula>F219&gt;0</formula>
    </cfRule>
    <cfRule type="expression" dxfId="802" priority="6">
      <formula>F219&lt;0</formula>
    </cfRule>
  </conditionalFormatting>
  <conditionalFormatting sqref="H227:H230 F227:F230">
    <cfRule type="expression" dxfId="801" priority="3">
      <formula>F227&gt;0</formula>
    </cfRule>
    <cfRule type="expression" dxfId="800" priority="4">
      <formula>F227&lt;0</formula>
    </cfRule>
  </conditionalFormatting>
  <conditionalFormatting sqref="H234 F234">
    <cfRule type="expression" dxfId="799" priority="1">
      <formula>F234&gt;0</formula>
    </cfRule>
    <cfRule type="expression" dxfId="79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7">
        <f>AC2/AC3-1</f>
        <v>-1.0741138560677044E-4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94.76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7">
        <f t="shared" ref="AE3:AE66" si="1">AC3/AC4-1</f>
        <v>-1.429327686606674E-2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94.76</v>
      </c>
      <c r="R4" s="499">
        <v>-9.5999999999999992E-3</v>
      </c>
      <c r="T4" s="162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7">
        <f t="shared" si="1"/>
        <v>4.0395450196664129E-3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7">
        <f t="shared" si="1"/>
        <v>2.2373748135520177E-3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7">
        <f t="shared" si="1"/>
        <v>-5.6150015891514027E-3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7">
        <f t="shared" si="1"/>
        <v>0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7">
        <f t="shared" si="1"/>
        <v>-1.543757171169291E-2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7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7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7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7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7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7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7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7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7">
        <f t="shared" si="1"/>
        <v>9.5887492009372188E-4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7">
        <f t="shared" si="1"/>
        <v>2.7777777777777679E-3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7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7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7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7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7">
        <f t="shared" si="1"/>
        <v>6.5591995553084814E-3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7">
        <f t="shared" si="1"/>
        <v>-2.6936391172652452E-2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7">
        <f t="shared" si="1"/>
        <v>-9.8543273350470972E-3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7">
        <f t="shared" si="1"/>
        <v>-6.1741537151372983E-3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7">
        <f t="shared" si="1"/>
        <v>-1.0633772862612689E-3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7">
        <f t="shared" si="1"/>
        <v>-6.5497570251424886E-3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7">
        <f t="shared" si="1"/>
        <v>-1.0552975939215337E-3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7">
        <f t="shared" si="1"/>
        <v>-9.822361546499403E-3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7">
        <f t="shared" si="1"/>
        <v>3.7848389545602545E-2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7">
        <f t="shared" si="1"/>
        <v>-4.9638502212151492E-3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7">
        <f t="shared" si="1"/>
        <v>3.2649877423668539E-2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7">
        <f t="shared" si="1"/>
        <v>-2.1127543645058644E-3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7">
        <f t="shared" si="1"/>
        <v>-4.2077289336728274E-3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7">
        <f t="shared" si="1"/>
        <v>9.1630349759750374E-3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7">
        <f t="shared" si="1"/>
        <v>-5.2245442418852317E-3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7">
        <f t="shared" si="1"/>
        <v>-4.2063316360417824E-3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7">
        <f t="shared" si="1"/>
        <v>-5.285179475886248E-3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7">
        <f t="shared" si="1"/>
        <v>-1.1009578333154302E-4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104.23600000000002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7">
        <f t="shared" si="1"/>
        <v>1.3228971447469817E-3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103.28840000000001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7">
        <f t="shared" si="1"/>
        <v>9.3468343162343981E-3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102.34080000000002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7">
        <f t="shared" si="1"/>
        <v>-6.6320327180280358E-3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101.39320000000001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7">
        <f t="shared" si="1"/>
        <v>8.2469631115569264E-3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100.44560000000001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7">
        <f t="shared" si="1"/>
        <v>-8.4574576617016839E-2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99.498000000000005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7">
        <f t="shared" si="1"/>
        <v>1.849542809642557E-2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98.55040000000001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7">
        <f t="shared" si="1"/>
        <v>-2.3841608790298174E-3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97.602800000000002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7">
        <f t="shared" si="1"/>
        <v>-8.5303186022610555E-3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96.655200000000008</v>
      </c>
      <c r="Q49" s="2"/>
      <c r="T49" s="92" t="s">
        <v>122</v>
      </c>
      <c r="U49" s="129" t="s">
        <v>415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7">
        <f t="shared" si="1"/>
        <v>2.2810890360559277E-2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95.707599999999999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7">
        <f t="shared" si="1"/>
        <v>-9.578344612181211E-3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94.76</v>
      </c>
      <c r="Q51" s="2"/>
      <c r="T51" s="92" t="s">
        <v>105</v>
      </c>
      <c r="U51" s="129" t="s">
        <v>685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7">
        <f t="shared" si="1"/>
        <v>1.7478813559322015E-2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93.812400000000011</v>
      </c>
      <c r="Q52" s="2"/>
      <c r="T52" s="92" t="s">
        <v>106</v>
      </c>
      <c r="U52" s="129" t="s">
        <v>448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7">
        <f t="shared" si="1"/>
        <v>-6.3157894736841635E-3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92.864800000000002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7">
        <f t="shared" si="1"/>
        <v>-5.3397549994765869E-3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91.917200000000008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7">
        <f t="shared" si="1"/>
        <v>-8.1005296500156199E-3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90.9696</v>
      </c>
      <c r="T55" s="92" t="s">
        <v>108</v>
      </c>
      <c r="U55" s="129" t="s">
        <v>686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7">
        <f t="shared" si="1"/>
        <v>5.2197515398266781E-3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90.022000000000006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7">
        <f t="shared" si="1"/>
        <v>-1.1251032204789291E-2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89.074399999999997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7">
        <f t="shared" si="1"/>
        <v>-2.5738700710388196E-3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88.126800000000003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7">
        <f t="shared" si="1"/>
        <v>-4.7135977046829369E-3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87.179200000000009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7">
        <f t="shared" si="1"/>
        <v>-1.0745058286872777E-2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86.231600000000014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7">
        <f t="shared" si="1"/>
        <v>-4.942505547710252E-3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85.284000000000006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7">
        <f t="shared" si="1"/>
        <v>1.2149055640632955E-2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7">
        <f t="shared" si="1"/>
        <v>9.0656227464718242E-3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7">
        <f t="shared" si="1"/>
        <v>-1.2346949274617547E-3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7">
        <f t="shared" si="1"/>
        <v>6.7329604309094293E-3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7">
        <f t="shared" si="1"/>
        <v>1.0678391959799027E-2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7">
        <f t="shared" si="1"/>
        <v>1.9423692636072465E-2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1">
        <v>42768</v>
      </c>
      <c r="C74" s="661">
        <v>40</v>
      </c>
      <c r="D74" s="659">
        <v>91.52</v>
      </c>
      <c r="E74" s="659">
        <v>0</v>
      </c>
      <c r="F74" s="659">
        <f>D74*C74+E74</f>
        <v>3660.7999999999997</v>
      </c>
      <c r="G74" s="681">
        <v>42803</v>
      </c>
      <c r="H74" s="661">
        <v>20</v>
      </c>
      <c r="I74" s="659">
        <v>91.58</v>
      </c>
      <c r="J74" s="659">
        <v>0.04</v>
      </c>
      <c r="K74" s="659">
        <f>I74*H74-J74</f>
        <v>1831.56</v>
      </c>
      <c r="L74" s="660"/>
      <c r="M74" s="659"/>
    </row>
    <row r="75" spans="1:31" x14ac:dyDescent="0.25">
      <c r="A75" s="260"/>
      <c r="B75" s="681">
        <v>42768</v>
      </c>
      <c r="C75" s="661">
        <v>40</v>
      </c>
      <c r="D75" s="659">
        <v>88.8</v>
      </c>
      <c r="E75" s="659">
        <v>0</v>
      </c>
      <c r="F75" s="659">
        <f>D75*C75+E75</f>
        <v>3552</v>
      </c>
      <c r="G75" s="681">
        <v>42803</v>
      </c>
      <c r="H75" s="671">
        <v>20</v>
      </c>
      <c r="I75" s="659">
        <v>92.2</v>
      </c>
      <c r="J75" s="659">
        <v>0.04</v>
      </c>
      <c r="K75" s="659">
        <f t="shared" ref="K75:K76" si="3">I75*H75-J75</f>
        <v>1843.96</v>
      </c>
      <c r="L75" s="661"/>
      <c r="M75" s="661"/>
    </row>
    <row r="76" spans="1:31" x14ac:dyDescent="0.25">
      <c r="A76" s="260"/>
      <c r="B76" s="681"/>
      <c r="C76" s="661"/>
      <c r="D76" s="659"/>
      <c r="E76" s="659"/>
      <c r="F76" s="659"/>
      <c r="G76" s="681">
        <v>42803</v>
      </c>
      <c r="H76" s="671">
        <v>40</v>
      </c>
      <c r="I76" s="659">
        <v>93</v>
      </c>
      <c r="J76" s="659">
        <v>0.08</v>
      </c>
      <c r="K76" s="659">
        <f t="shared" si="3"/>
        <v>3719.92</v>
      </c>
      <c r="L76" s="661"/>
      <c r="M76" s="66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374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374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97" priority="43">
      <formula>F33&gt;0</formula>
    </cfRule>
    <cfRule type="expression" dxfId="796" priority="44">
      <formula>F33&lt;0</formula>
    </cfRule>
  </conditionalFormatting>
  <conditionalFormatting sqref="Q7">
    <cfRule type="expression" dxfId="795" priority="41">
      <formula>Q7&gt;0</formula>
    </cfRule>
    <cfRule type="expression" dxfId="794" priority="42">
      <formula>Q7&lt;0</formula>
    </cfRule>
  </conditionalFormatting>
  <conditionalFormatting sqref="Q8">
    <cfRule type="expression" dxfId="793" priority="39">
      <formula>Q8&gt;0</formula>
    </cfRule>
    <cfRule type="expression" dxfId="792" priority="40">
      <formula>Q8&lt;0</formula>
    </cfRule>
  </conditionalFormatting>
  <conditionalFormatting sqref="F29 F32">
    <cfRule type="expression" dxfId="791" priority="37">
      <formula>F29&gt;0</formula>
    </cfRule>
    <cfRule type="expression" dxfId="790" priority="38">
      <formula>F29&lt;0</formula>
    </cfRule>
  </conditionalFormatting>
  <conditionalFormatting sqref="H29 H32">
    <cfRule type="expression" dxfId="789" priority="35">
      <formula>H29&gt;0</formula>
    </cfRule>
    <cfRule type="expression" dxfId="788" priority="36">
      <formula>H29&lt;0</formula>
    </cfRule>
  </conditionalFormatting>
  <conditionalFormatting sqref="F30:F31">
    <cfRule type="expression" dxfId="787" priority="33">
      <formula>F30&gt;0</formula>
    </cfRule>
    <cfRule type="expression" dxfId="786" priority="34">
      <formula>F30&lt;0</formula>
    </cfRule>
  </conditionalFormatting>
  <conditionalFormatting sqref="H30:H31">
    <cfRule type="expression" dxfId="785" priority="31">
      <formula>H30&gt;0</formula>
    </cfRule>
    <cfRule type="expression" dxfId="784" priority="32">
      <formula>H30&lt;0</formula>
    </cfRule>
  </conditionalFormatting>
  <conditionalFormatting sqref="F105:F140 H105:H140">
    <cfRule type="expression" dxfId="783" priority="29">
      <formula>F105&gt;0</formula>
    </cfRule>
    <cfRule type="expression" dxfId="782" priority="30">
      <formula>F105&lt;0</formula>
    </cfRule>
  </conditionalFormatting>
  <conditionalFormatting sqref="F96:F99">
    <cfRule type="expression" dxfId="781" priority="27">
      <formula>F96&gt;0</formula>
    </cfRule>
    <cfRule type="expression" dxfId="780" priority="28">
      <formula>F96&lt;0</formula>
    </cfRule>
  </conditionalFormatting>
  <conditionalFormatting sqref="H96:H99">
    <cfRule type="expression" dxfId="779" priority="25">
      <formula>H96&gt;0</formula>
    </cfRule>
    <cfRule type="expression" dxfId="778" priority="26">
      <formula>H96&lt;0</formula>
    </cfRule>
  </conditionalFormatting>
  <conditionalFormatting sqref="F25:F28">
    <cfRule type="expression" dxfId="777" priority="19">
      <formula>F25&gt;0</formula>
    </cfRule>
    <cfRule type="expression" dxfId="776" priority="20">
      <formula>F25&lt;0</formula>
    </cfRule>
  </conditionalFormatting>
  <conditionalFormatting sqref="H25:H28">
    <cfRule type="expression" dxfId="775" priority="17">
      <formula>H25&gt;0</formula>
    </cfRule>
    <cfRule type="expression" dxfId="774" priority="18">
      <formula>H25&lt;0</formula>
    </cfRule>
  </conditionalFormatting>
  <conditionalFormatting sqref="J27">
    <cfRule type="expression" dxfId="773" priority="15">
      <formula>J27&gt;0</formula>
    </cfRule>
    <cfRule type="expression" dxfId="772" priority="16">
      <formula>J27&lt;0</formula>
    </cfRule>
  </conditionalFormatting>
  <conditionalFormatting sqref="F104">
    <cfRule type="expression" dxfId="771" priority="13">
      <formula>F104&gt;0</formula>
    </cfRule>
    <cfRule type="expression" dxfId="770" priority="14">
      <formula>F104&lt;0</formula>
    </cfRule>
  </conditionalFormatting>
  <conditionalFormatting sqref="H104">
    <cfRule type="expression" dxfId="769" priority="11">
      <formula>H104&gt;0</formula>
    </cfRule>
    <cfRule type="expression" dxfId="768" priority="12">
      <formula>H104&lt;0</formula>
    </cfRule>
  </conditionalFormatting>
  <conditionalFormatting sqref="F100:F103">
    <cfRule type="expression" dxfId="767" priority="9">
      <formula>F100&gt;0</formula>
    </cfRule>
    <cfRule type="expression" dxfId="766" priority="10">
      <formula>F100&lt;0</formula>
    </cfRule>
  </conditionalFormatting>
  <conditionalFormatting sqref="H100:H103">
    <cfRule type="expression" dxfId="765" priority="7">
      <formula>H100&gt;0</formula>
    </cfRule>
    <cfRule type="expression" dxfId="764" priority="8">
      <formula>H100&lt;0</formula>
    </cfRule>
  </conditionalFormatting>
  <conditionalFormatting sqref="J102">
    <cfRule type="expression" dxfId="763" priority="5">
      <formula>J102&gt;0</formula>
    </cfRule>
    <cfRule type="expression" dxfId="762" priority="6">
      <formula>J102&lt;0</formula>
    </cfRule>
  </conditionalFormatting>
  <conditionalFormatting sqref="Q10">
    <cfRule type="expression" dxfId="761" priority="3">
      <formula>Q10&gt;0</formula>
    </cfRule>
    <cfRule type="expression" dxfId="760" priority="4">
      <formula>Q10&lt;0</formula>
    </cfRule>
  </conditionalFormatting>
  <conditionalFormatting sqref="M71">
    <cfRule type="expression" dxfId="759" priority="1">
      <formula>M71&gt;0</formula>
    </cfRule>
    <cfRule type="expression" dxfId="75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42830</v>
      </c>
      <c r="X2" s="141">
        <v>54.97</v>
      </c>
      <c r="Y2" s="141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56.11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56.11</v>
      </c>
      <c r="R4" s="499">
        <v>-2.3E-3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7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7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7"/>
      <c r="AL12" s="233"/>
      <c r="AO12" s="233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7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7"/>
      <c r="AL14" s="233"/>
      <c r="AO14" s="233"/>
      <c r="AP14" s="233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7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7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7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7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7"/>
    </row>
    <row r="22" spans="1:41" x14ac:dyDescent="0.25">
      <c r="B22" s="672" t="s">
        <v>114</v>
      </c>
      <c r="C22" s="672" t="s">
        <v>147</v>
      </c>
      <c r="D22" s="673" t="s">
        <v>146</v>
      </c>
      <c r="E22" s="674" t="s">
        <v>148</v>
      </c>
      <c r="F22" s="675" t="s">
        <v>65</v>
      </c>
      <c r="G22" s="676" t="s">
        <v>152</v>
      </c>
      <c r="H22" s="675" t="s">
        <v>88</v>
      </c>
      <c r="I22" s="676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7"/>
    </row>
    <row r="23" spans="1:41" x14ac:dyDescent="0.25">
      <c r="B23" s="677"/>
      <c r="C23" s="9"/>
      <c r="D23" s="678"/>
      <c r="E23" s="41"/>
      <c r="F23" s="41"/>
      <c r="G23" s="41"/>
      <c r="H23" s="679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7"/>
    </row>
    <row r="24" spans="1:41" x14ac:dyDescent="0.25">
      <c r="B24" s="677"/>
      <c r="C24" s="9"/>
      <c r="D24" s="678"/>
      <c r="E24" s="41"/>
      <c r="F24" s="41"/>
      <c r="G24" s="41"/>
      <c r="H24" s="679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7"/>
    </row>
    <row r="25" spans="1:41" x14ac:dyDescent="0.25">
      <c r="B25" s="677"/>
      <c r="C25" s="9"/>
      <c r="D25" s="678"/>
      <c r="E25" s="41"/>
      <c r="F25" s="41"/>
      <c r="G25" s="41"/>
      <c r="H25" s="679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7"/>
    </row>
    <row r="26" spans="1:41" x14ac:dyDescent="0.25">
      <c r="B26" s="677"/>
      <c r="C26" s="9"/>
      <c r="D26" s="678"/>
      <c r="E26" s="41"/>
      <c r="F26" s="41"/>
      <c r="G26" s="41"/>
      <c r="H26" s="679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7"/>
    </row>
    <row r="27" spans="1:41" x14ac:dyDescent="0.25">
      <c r="B27" s="677"/>
      <c r="C27" s="9"/>
      <c r="D27" s="678"/>
      <c r="E27" s="41"/>
      <c r="F27" s="41"/>
      <c r="G27" s="41"/>
      <c r="H27" s="679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7"/>
    </row>
    <row r="28" spans="1:41" x14ac:dyDescent="0.25">
      <c r="B28" s="677"/>
      <c r="C28" s="9"/>
      <c r="D28" s="678"/>
      <c r="E28" s="41"/>
      <c r="F28" s="41"/>
      <c r="G28" s="41"/>
      <c r="H28" s="679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7"/>
    </row>
    <row r="29" spans="1:41" x14ac:dyDescent="0.25">
      <c r="B29" s="677"/>
      <c r="C29" s="9"/>
      <c r="D29" s="678"/>
      <c r="E29" s="41"/>
      <c r="F29" s="41"/>
      <c r="G29" s="41"/>
      <c r="H29" s="679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7"/>
    </row>
    <row r="30" spans="1:41" x14ac:dyDescent="0.25">
      <c r="B30" s="677"/>
      <c r="C30" s="9"/>
      <c r="D30" s="678"/>
      <c r="E30" s="41"/>
      <c r="F30" s="41"/>
      <c r="G30" s="41"/>
      <c r="H30" s="679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7"/>
    </row>
    <row r="31" spans="1:41" x14ac:dyDescent="0.25">
      <c r="B31" s="677"/>
      <c r="C31" s="9"/>
      <c r="D31" s="678"/>
      <c r="E31" s="41"/>
      <c r="F31" s="41"/>
      <c r="G31" s="41"/>
      <c r="H31" s="679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7"/>
    </row>
    <row r="32" spans="1:41" x14ac:dyDescent="0.25">
      <c r="B32" s="677"/>
      <c r="C32" s="9"/>
      <c r="D32" s="678"/>
      <c r="E32" s="41"/>
      <c r="F32" s="41"/>
      <c r="G32" s="41"/>
      <c r="H32" s="679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7"/>
    </row>
    <row r="33" spans="1:41" x14ac:dyDescent="0.25">
      <c r="B33" s="677"/>
      <c r="C33" s="9"/>
      <c r="D33" s="678"/>
      <c r="E33" s="41"/>
      <c r="F33" s="41"/>
      <c r="G33" s="41"/>
      <c r="H33" s="679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7"/>
    </row>
    <row r="34" spans="1:41" x14ac:dyDescent="0.25">
      <c r="B34" s="677"/>
      <c r="C34" s="9"/>
      <c r="D34" s="678"/>
      <c r="E34" s="41"/>
      <c r="F34" s="41"/>
      <c r="G34" s="41"/>
      <c r="H34" s="679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7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7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7"/>
    </row>
    <row r="45" spans="1:41" ht="15.75" thickTop="1" x14ac:dyDescent="0.25">
      <c r="A45" s="260"/>
      <c r="B45" s="68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61.721000000000004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7"/>
    </row>
    <row r="46" spans="1:41" x14ac:dyDescent="0.25">
      <c r="A46" s="260"/>
      <c r="B46" s="68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61.1599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5">
        <v>42829</v>
      </c>
      <c r="M47" s="260">
        <v>3.6</v>
      </c>
      <c r="O47" s="82">
        <v>1.08</v>
      </c>
      <c r="P47" s="82">
        <f t="shared" si="1"/>
        <v>60.598800000000004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60.037700000000001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59.476600000000005</v>
      </c>
      <c r="T49" s="92" t="s">
        <v>122</v>
      </c>
      <c r="U49" s="129" t="s">
        <v>583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58.915500000000002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58.354399999999998</v>
      </c>
      <c r="T51" s="92" t="s">
        <v>105</v>
      </c>
      <c r="U51" s="129" t="s">
        <v>687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57.793300000000002</v>
      </c>
      <c r="T52" s="92" t="s">
        <v>106</v>
      </c>
      <c r="U52" s="129" t="s">
        <v>688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57.232199999999999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56.671100000000003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56.11</v>
      </c>
      <c r="T55" s="92" t="s">
        <v>108</v>
      </c>
      <c r="U55" s="129" t="s">
        <v>689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7"/>
    </row>
    <row r="56" spans="1:41" x14ac:dyDescent="0.25">
      <c r="O56" s="82">
        <v>0.99</v>
      </c>
      <c r="P56" s="82">
        <f t="shared" si="1"/>
        <v>55.548899999999996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7"/>
    </row>
    <row r="57" spans="1:41" x14ac:dyDescent="0.25">
      <c r="O57" s="82">
        <v>0.98</v>
      </c>
      <c r="P57" s="82">
        <f t="shared" si="1"/>
        <v>54.9878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7"/>
    </row>
    <row r="58" spans="1:41" x14ac:dyDescent="0.25">
      <c r="O58" s="82">
        <v>0.97</v>
      </c>
      <c r="P58" s="82">
        <f t="shared" si="1"/>
        <v>54.426699999999997</v>
      </c>
      <c r="T58" s="92" t="s">
        <v>109</v>
      </c>
      <c r="U58" s="129" t="s">
        <v>607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53.865600000000001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7"/>
    </row>
    <row r="60" spans="1:41" x14ac:dyDescent="0.25">
      <c r="O60" s="82">
        <v>0.95</v>
      </c>
      <c r="P60" s="82">
        <f t="shared" si="1"/>
        <v>53.304499999999997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7"/>
    </row>
    <row r="61" spans="1:41" x14ac:dyDescent="0.25">
      <c r="O61" s="82">
        <v>0.94</v>
      </c>
      <c r="P61" s="82">
        <f t="shared" si="1"/>
        <v>52.743399999999994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7"/>
    </row>
    <row r="62" spans="1:41" x14ac:dyDescent="0.25">
      <c r="O62" s="82">
        <v>0.93</v>
      </c>
      <c r="P62" s="82">
        <f t="shared" si="1"/>
        <v>52.182300000000005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7"/>
    </row>
    <row r="63" spans="1:41" x14ac:dyDescent="0.25">
      <c r="O63" s="82">
        <v>0.92</v>
      </c>
      <c r="P63" s="82">
        <f t="shared" si="1"/>
        <v>51.621200000000002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7"/>
    </row>
    <row r="64" spans="1:41" x14ac:dyDescent="0.25">
      <c r="O64" s="82">
        <v>0.91</v>
      </c>
      <c r="P64" s="82">
        <f t="shared" si="1"/>
        <v>51.060099999999998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7"/>
    </row>
    <row r="65" spans="15:31" x14ac:dyDescent="0.25">
      <c r="O65" s="82">
        <v>0.9</v>
      </c>
      <c r="P65" s="82">
        <f t="shared" si="1"/>
        <v>50.499000000000002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7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7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7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57" priority="43">
      <formula>F27&gt;0</formula>
    </cfRule>
    <cfRule type="expression" dxfId="756" priority="44">
      <formula>F27&lt;0</formula>
    </cfRule>
  </conditionalFormatting>
  <conditionalFormatting sqref="H27:H33">
    <cfRule type="expression" dxfId="755" priority="39">
      <formula>H27&gt;0</formula>
    </cfRule>
    <cfRule type="expression" dxfId="754" priority="40">
      <formula>H27&lt;0</formula>
    </cfRule>
  </conditionalFormatting>
  <conditionalFormatting sqref="F23:F26">
    <cfRule type="expression" dxfId="753" priority="25">
      <formula>F23&gt;0</formula>
    </cfRule>
    <cfRule type="expression" dxfId="752" priority="26">
      <formula>F23&lt;0</formula>
    </cfRule>
  </conditionalFormatting>
  <conditionalFormatting sqref="H23:H26">
    <cfRule type="expression" dxfId="751" priority="23">
      <formula>H23&gt;0</formula>
    </cfRule>
    <cfRule type="expression" dxfId="750" priority="24">
      <formula>H23&lt;0</formula>
    </cfRule>
  </conditionalFormatting>
  <conditionalFormatting sqref="Q8">
    <cfRule type="expression" dxfId="749" priority="19">
      <formula>Q8&gt;0</formula>
    </cfRule>
    <cfRule type="expression" dxfId="748" priority="20">
      <formula>Q8&lt;0</formula>
    </cfRule>
  </conditionalFormatting>
  <conditionalFormatting sqref="Q7">
    <cfRule type="expression" dxfId="747" priority="21">
      <formula>Q7&gt;0</formula>
    </cfRule>
    <cfRule type="expression" dxfId="746" priority="22">
      <formula>Q7&lt;0</formula>
    </cfRule>
  </conditionalFormatting>
  <conditionalFormatting sqref="F34">
    <cfRule type="expression" dxfId="745" priority="17">
      <formula>F34&gt;0</formula>
    </cfRule>
    <cfRule type="expression" dxfId="744" priority="18">
      <formula>F34&lt;0</formula>
    </cfRule>
  </conditionalFormatting>
  <conditionalFormatting sqref="H34">
    <cfRule type="expression" dxfId="743" priority="15">
      <formula>H34&gt;0</formula>
    </cfRule>
    <cfRule type="expression" dxfId="742" priority="16">
      <formula>H34&lt;0</formula>
    </cfRule>
  </conditionalFormatting>
  <conditionalFormatting sqref="M36">
    <cfRule type="expression" dxfId="741" priority="5">
      <formula>M36&gt;0</formula>
    </cfRule>
    <cfRule type="expression" dxfId="740" priority="6">
      <formula>M36&lt;0</formula>
    </cfRule>
  </conditionalFormatting>
  <conditionalFormatting sqref="Q10">
    <cfRule type="expression" dxfId="739" priority="1">
      <formula>Q10&gt;0</formula>
    </cfRule>
    <cfRule type="expression" dxfId="73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200</v>
      </c>
      <c r="T2" s="456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7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549</v>
      </c>
      <c r="M3" s="4"/>
      <c r="O3" s="11" t="s">
        <v>58</v>
      </c>
      <c r="Q3" s="229">
        <f>IF(Q2=0, Q4, (F18-K18-M18)/Q2)</f>
        <v>29.412799999999997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7">
        <f t="shared" ref="AE3:AE66" si="1">AC3/AC4-1</f>
        <v>8.6475268073331613E-3</v>
      </c>
    </row>
    <row r="4" spans="1:31" x14ac:dyDescent="0.25">
      <c r="B4" s="498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4"/>
      <c r="I4" s="3"/>
      <c r="J4" s="3"/>
      <c r="K4" s="3"/>
      <c r="L4" s="4"/>
      <c r="O4" s="11" t="s">
        <v>66</v>
      </c>
      <c r="Q4" s="55">
        <v>27.04</v>
      </c>
      <c r="R4" s="499">
        <v>-1.17E-2</v>
      </c>
      <c r="T4" s="162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7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5408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7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5882.5599999999995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7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977.69999999999891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7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-474.55999999999949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7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-8.0672360332916207E-2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7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7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7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7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7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7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7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7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7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8801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7">
        <f t="shared" si="1"/>
        <v>-1.7857142857142794E-2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7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7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7">
        <f t="shared" si="1"/>
        <v>1.1510289501220683E-2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540</v>
      </c>
      <c r="K22" s="515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7">
        <f t="shared" si="1"/>
        <v>-1.7477724468814237E-2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7">
        <f t="shared" si="1"/>
        <v>-1.5851602023608691E-2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7">
        <f t="shared" si="1"/>
        <v>-1.886168100595631E-2</v>
      </c>
    </row>
    <row r="25" spans="1:31" x14ac:dyDescent="0.25">
      <c r="A25" t="s">
        <v>373</v>
      </c>
      <c r="B25" s="192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7">
        <f t="shared" si="1"/>
        <v>-6.5746219592374144E-3</v>
      </c>
    </row>
    <row r="26" spans="1:31" x14ac:dyDescent="0.25">
      <c r="A26" t="s">
        <v>373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7">
        <f t="shared" si="1"/>
        <v>-1.9658395101514681E-2</v>
      </c>
    </row>
    <row r="27" spans="1:31" x14ac:dyDescent="0.25">
      <c r="A27" t="s">
        <v>361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7">
        <f t="shared" si="1"/>
        <v>-5.1298493106765042E-3</v>
      </c>
    </row>
    <row r="28" spans="1:31" x14ac:dyDescent="0.25">
      <c r="A28">
        <v>100</v>
      </c>
      <c r="B28" s="192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7" t="e">
        <f t="shared" si="1"/>
        <v>#DIV/0!</v>
      </c>
    </row>
    <row r="29" spans="1:31" x14ac:dyDescent="0.25">
      <c r="A29">
        <v>0</v>
      </c>
      <c r="B29" s="192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507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0</v>
      </c>
      <c r="B30" s="192">
        <v>42811</v>
      </c>
      <c r="C30" s="10">
        <v>100</v>
      </c>
      <c r="D30" s="40">
        <v>30.4756</v>
      </c>
      <c r="E30" s="40">
        <v>29.17</v>
      </c>
      <c r="F30" s="40">
        <f t="shared" ref="F30:F31" si="8">C30*(E30-D30)</f>
        <v>-130.55999999999983</v>
      </c>
      <c r="G30" s="40">
        <f t="shared" ref="G30:G31" si="9">D30*C30</f>
        <v>3047.56</v>
      </c>
      <c r="H30" s="230">
        <f t="shared" ref="H30:H31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7">
        <f t="shared" si="1"/>
        <v>3.8523274478330372E-3</v>
      </c>
    </row>
    <row r="31" spans="1:31" x14ac:dyDescent="0.25">
      <c r="A31">
        <v>0</v>
      </c>
      <c r="B31" s="192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30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7">
        <f t="shared" si="1"/>
        <v>-1.267828843106189E-2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7">
        <f t="shared" si="1"/>
        <v>-3.9281364190012269E-2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7">
        <f t="shared" si="1"/>
        <v>-1.5292353823088356E-2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7">
        <f t="shared" si="1"/>
        <v>1.5015015015016342E-3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7">
        <f t="shared" si="1"/>
        <v>1.3390139987827121E-2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7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7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7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7">
        <f t="shared" si="1"/>
        <v>2.7325759901750013E-2</v>
      </c>
    </row>
    <row r="40" spans="2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7">
        <f t="shared" si="1"/>
        <v>3.2329635499207532E-2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29.744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7">
        <f t="shared" si="1"/>
        <v>-1.1901033510804848E-2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29.473600000000001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7">
        <f t="shared" si="1"/>
        <v>-6.2597809076680999E-4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29.203200000000002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7">
        <f t="shared" si="1"/>
        <v>6.2992125984251413E-3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28.9328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7">
        <f t="shared" si="1"/>
        <v>5.7016154577129718E-3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28.662400000000002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7">
        <f t="shared" si="1"/>
        <v>1.2508017960231044E-2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28.391999999999999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7">
        <f t="shared" si="1"/>
        <v>-7.0063694267515908E-3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28.121600000000001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7">
        <f t="shared" si="1"/>
        <v>9.6463022508037621E-3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27.851199999999999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7">
        <f t="shared" si="1"/>
        <v>1.3029315960912058E-2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27.5808</v>
      </c>
      <c r="Q49" s="2"/>
      <c r="T49" s="92" t="s">
        <v>122</v>
      </c>
      <c r="U49" s="129" t="s">
        <v>452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7">
        <f t="shared" si="1"/>
        <v>-1.4446227929374E-2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27.310399999999998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7">
        <f t="shared" si="1"/>
        <v>-1.2991128010139463E-2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27.04</v>
      </c>
      <c r="Q51" s="2"/>
      <c r="T51" s="92" t="s">
        <v>105</v>
      </c>
      <c r="U51" s="129" t="s">
        <v>690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7">
        <f t="shared" si="1"/>
        <v>-4.2766151046405798E-2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26.769600000000001</v>
      </c>
      <c r="Q52" s="2"/>
      <c r="T52" s="92" t="s">
        <v>106</v>
      </c>
      <c r="U52" s="129" t="s">
        <v>466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7">
        <f t="shared" si="1"/>
        <v>-5.7297949336548859E-3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26.499199999999998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7">
        <f t="shared" si="1"/>
        <v>6.0441317556763519E-2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26.2288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7">
        <f t="shared" si="1"/>
        <v>8.384392131570495E-3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25.958399999999997</v>
      </c>
      <c r="T55" s="92" t="s">
        <v>108</v>
      </c>
      <c r="U55" s="129" t="s">
        <v>691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7">
        <f t="shared" si="1"/>
        <v>3.4011337112370921E-2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25.687999999999999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7">
        <f t="shared" si="1"/>
        <v>-1.1210023079459286E-2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25.417599999999997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7">
        <f t="shared" si="1"/>
        <v>-5.5737704918032982E-3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25.147200000000002</v>
      </c>
      <c r="T58" s="92" t="s">
        <v>109</v>
      </c>
      <c r="U58" s="129" t="s">
        <v>608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7">
        <f t="shared" si="1"/>
        <v>-1.5493867010974882E-2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24.876799999999999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7">
        <f t="shared" si="1"/>
        <v>-5.138086062941527E-3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24.606400000000001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7">
        <f t="shared" si="1"/>
        <v>-6.4184852374837842E-4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24.335999999999999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7">
        <f t="shared" si="1"/>
        <v>2.331691297208538E-2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7">
        <f t="shared" si="1"/>
        <v>3.2851511169518233E-4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7">
        <f t="shared" si="1"/>
        <v>-2.9479200786112214E-3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7">
        <f t="shared" si="1"/>
        <v>-2.2875816993463971E-3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7">
        <f t="shared" si="1"/>
        <v>1.9646365422396617E-3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7">
        <f t="shared" si="1"/>
        <v>4.3389135633754794E-2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357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357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357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357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357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37" priority="37">
      <formula>F55&gt;0</formula>
    </cfRule>
    <cfRule type="expression" dxfId="736" priority="38">
      <formula>F55&lt;0</formula>
    </cfRule>
  </conditionalFormatting>
  <conditionalFormatting sqref="Q7">
    <cfRule type="expression" dxfId="735" priority="25">
      <formula>Q7&gt;0</formula>
    </cfRule>
    <cfRule type="expression" dxfId="734" priority="26">
      <formula>Q7&lt;0</formula>
    </cfRule>
  </conditionalFormatting>
  <conditionalFormatting sqref="Q8">
    <cfRule type="expression" dxfId="733" priority="23">
      <formula>Q8&gt;0</formula>
    </cfRule>
    <cfRule type="expression" dxfId="732" priority="24">
      <formula>Q8&lt;0</formula>
    </cfRule>
  </conditionalFormatting>
  <conditionalFormatting sqref="F42:F54">
    <cfRule type="expression" dxfId="731" priority="21">
      <formula>F42&gt;0</formula>
    </cfRule>
    <cfRule type="expression" dxfId="730" priority="22">
      <formula>F42&lt;0</formula>
    </cfRule>
  </conditionalFormatting>
  <conditionalFormatting sqref="H42:H54">
    <cfRule type="expression" dxfId="729" priority="19">
      <formula>H42&gt;0</formula>
    </cfRule>
    <cfRule type="expression" dxfId="728" priority="20">
      <formula>H42&lt;0</formula>
    </cfRule>
  </conditionalFormatting>
  <conditionalFormatting sqref="H58:H61">
    <cfRule type="expression" dxfId="727" priority="15">
      <formula>H58&gt;0</formula>
    </cfRule>
    <cfRule type="expression" dxfId="726" priority="16">
      <formula>H58&lt;0</formula>
    </cfRule>
  </conditionalFormatting>
  <conditionalFormatting sqref="F58:F61">
    <cfRule type="expression" dxfId="725" priority="17">
      <formula>F58&gt;0</formula>
    </cfRule>
    <cfRule type="expression" dxfId="724" priority="18">
      <formula>F58&lt;0</formula>
    </cfRule>
  </conditionalFormatting>
  <conditionalFormatting sqref="M84">
    <cfRule type="expression" dxfId="723" priority="13">
      <formula>M84&gt;0</formula>
    </cfRule>
    <cfRule type="expression" dxfId="722" priority="14">
      <formula>M84&lt;0</formula>
    </cfRule>
  </conditionalFormatting>
  <conditionalFormatting sqref="F23:F24 F31:F36">
    <cfRule type="expression" dxfId="721" priority="11">
      <formula>F23&gt;0</formula>
    </cfRule>
    <cfRule type="expression" dxfId="720" priority="12">
      <formula>F23&lt;0</formula>
    </cfRule>
  </conditionalFormatting>
  <conditionalFormatting sqref="H23:H24 H31:H36">
    <cfRule type="expression" dxfId="719" priority="9">
      <formula>H23&gt;0</formula>
    </cfRule>
    <cfRule type="expression" dxfId="718" priority="10">
      <formula>H23&lt;0</formula>
    </cfRule>
  </conditionalFormatting>
  <conditionalFormatting sqref="Q10">
    <cfRule type="expression" dxfId="717" priority="7">
      <formula>Q10&gt;0</formula>
    </cfRule>
    <cfRule type="expression" dxfId="716" priority="8">
      <formula>Q10&lt;0</formula>
    </cfRule>
  </conditionalFormatting>
  <conditionalFormatting sqref="F25:F30">
    <cfRule type="expression" dxfId="715" priority="5">
      <formula>F25&gt;0</formula>
    </cfRule>
    <cfRule type="expression" dxfId="714" priority="6">
      <formula>F25&lt;0</formula>
    </cfRule>
  </conditionalFormatting>
  <conditionalFormatting sqref="H25:H30">
    <cfRule type="expression" dxfId="713" priority="3">
      <formula>H25&gt;0</formula>
    </cfRule>
    <cfRule type="expression" dxfId="712" priority="4">
      <formula>H25&lt;0</formula>
    </cfRule>
  </conditionalFormatting>
  <conditionalFormatting sqref="K28:K35">
    <cfRule type="expression" dxfId="711" priority="1">
      <formula>K28&gt;0</formula>
    </cfRule>
    <cfRule type="expression" dxfId="71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7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51.27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7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51.27</v>
      </c>
      <c r="R4" s="499">
        <v>-4.7000000000000002E-3</v>
      </c>
      <c r="T4" s="162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7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7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7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7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7">
        <f t="shared" si="1"/>
        <v>9.6918007365753844E-4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7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7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7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7" t="e">
        <f t="shared" si="1"/>
        <v>#DIV/0!</v>
      </c>
    </row>
    <row r="13" spans="1:31" x14ac:dyDescent="0.25">
      <c r="H13" s="71"/>
      <c r="W13" s="132">
        <v>42816</v>
      </c>
      <c r="X13" s="10" t="s">
        <v>572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7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7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7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7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7">
        <f t="shared" si="1"/>
        <v>1.459416233506583E-2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7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7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7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7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7">
        <f t="shared" si="1"/>
        <v>-4.0306328093510091E-3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7">
        <f t="shared" si="1"/>
        <v>-5.0130338881090308E-3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7">
        <f t="shared" si="1"/>
        <v>-4.7894631810018184E-3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7">
        <f t="shared" si="1"/>
        <v>8.046670690001978E-3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7">
        <f t="shared" si="1"/>
        <v>-3.8076152304609145E-3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7">
        <f t="shared" si="1"/>
        <v>1.0530579181854849E-2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7">
        <f t="shared" si="1"/>
        <v>-1.011531458628312E-3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7">
        <f t="shared" si="1"/>
        <v>2.4335834516324706E-3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7">
        <f t="shared" si="1"/>
        <v>-9.0434083601285131E-3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7">
        <f t="shared" si="1"/>
        <v>2.4174053182917099E-3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7">
        <f t="shared" si="1"/>
        <v>-2.0140986908356862E-4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7">
        <f t="shared" si="1"/>
        <v>2.014504431908648E-4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7">
        <f t="shared" si="1"/>
        <v>-3.6130068245684432E-3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7">
        <f t="shared" si="1"/>
        <v>4.0306328093511201E-3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7">
        <f t="shared" si="1"/>
        <v>4.6568131200648288E-3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7">
        <f t="shared" si="1"/>
        <v>2.0251113811253774E-4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7">
        <f t="shared" si="1"/>
        <v>3.6585365853658569E-3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7">
        <f t="shared" si="1"/>
        <v>2.0329335230750978E-4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56.397000000000006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7">
        <f t="shared" si="1"/>
        <v>3.4679722562218629E-3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55.88430000000001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7">
        <f t="shared" si="1"/>
        <v>1.8393623543839777E-3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55.371600000000008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7">
        <f t="shared" si="1"/>
        <v>4.0891433244749642E-4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54.858900000000006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7">
        <f t="shared" si="1"/>
        <v>-9.5180234912921602E-3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54.346200000000003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7">
        <f t="shared" si="1"/>
        <v>3.6585365853658569E-3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53.833500000000008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7">
        <f t="shared" si="1"/>
        <v>-8.1234768480908937E-4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53.320800000000006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7">
        <f t="shared" si="1"/>
        <v>3.0556121409655024E-3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52.808100000000003</v>
      </c>
      <c r="Q48" s="2"/>
      <c r="T48" s="92" t="s">
        <v>333</v>
      </c>
      <c r="U48" s="87" t="s">
        <v>552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7">
        <f t="shared" si="1"/>
        <v>4.7073270568973591E-3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52.295400000000001</v>
      </c>
      <c r="Q49" s="2"/>
      <c r="T49" s="92" t="s">
        <v>334</v>
      </c>
      <c r="U49" s="448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7">
        <f t="shared" si="1"/>
        <v>-8.1201786439301094E-3</v>
      </c>
    </row>
    <row r="50" spans="1:31" x14ac:dyDescent="0.25">
      <c r="O50" s="82">
        <v>1.01</v>
      </c>
      <c r="P50" s="82">
        <f t="shared" si="5"/>
        <v>51.782700000000006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7">
        <f t="shared" si="1"/>
        <v>-2.0296326364943607E-4</v>
      </c>
    </row>
    <row r="51" spans="1:31" x14ac:dyDescent="0.25">
      <c r="O51" s="82">
        <v>1</v>
      </c>
      <c r="P51" s="82">
        <f t="shared" si="5"/>
        <v>51.27</v>
      </c>
      <c r="Q51" s="2"/>
      <c r="T51" s="92" t="s">
        <v>105</v>
      </c>
      <c r="U51" s="87" t="s">
        <v>692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7">
        <f t="shared" si="1"/>
        <v>-6.4529138939302122E-3</v>
      </c>
    </row>
    <row r="52" spans="1:31" x14ac:dyDescent="0.25">
      <c r="O52" s="82">
        <v>0.99</v>
      </c>
      <c r="P52" s="82">
        <f t="shared" si="5"/>
        <v>50.757300000000001</v>
      </c>
      <c r="Q52" s="2"/>
      <c r="T52" s="92" t="s">
        <v>106</v>
      </c>
      <c r="U52" s="87" t="s">
        <v>571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7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50.244600000000005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7">
        <f t="shared" si="1"/>
        <v>2.2499488647984567E-3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49.731900000000003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7">
        <f t="shared" si="1"/>
        <v>3.0775543701271335E-3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49.219200000000001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7">
        <f t="shared" si="1"/>
        <v>5.5704559521354557E-3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48.706499999999998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7">
        <f t="shared" si="1"/>
        <v>-2.0588840848260181E-3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48.193800000000003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7">
        <f t="shared" si="1"/>
        <v>-4.1008816895633515E-3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47.681100000000008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7">
        <f t="shared" si="1"/>
        <v>0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47.168400000000005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7">
        <f t="shared" si="1"/>
        <v>4.3245469522241731E-3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46.655700000000003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7">
        <f t="shared" si="1"/>
        <v>1.0307153164297311E-3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46.143000000000001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7">
        <f t="shared" si="1"/>
        <v>5.180273518441858E-3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7">
        <f t="shared" si="1"/>
        <v>-2.0716801325881828E-4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7">
        <f t="shared" si="1"/>
        <v>-3.5094962840626076E-3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7">
        <f t="shared" si="1"/>
        <v>-4.9301561216105183E-3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7">
        <f t="shared" si="1"/>
        <v>9.121061359867344E-3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7">
        <f t="shared" si="1"/>
        <v>8.3612040133778098E-3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09" priority="9">
      <formula>F39&gt;0</formula>
    </cfRule>
    <cfRule type="expression" dxfId="708" priority="10">
      <formula>F39&lt;0</formula>
    </cfRule>
  </conditionalFormatting>
  <conditionalFormatting sqref="F25:F38">
    <cfRule type="expression" dxfId="707" priority="7">
      <formula>F25&gt;0</formula>
    </cfRule>
    <cfRule type="expression" dxfId="706" priority="8">
      <formula>F25&lt;0</formula>
    </cfRule>
  </conditionalFormatting>
  <conditionalFormatting sqref="H25:H38">
    <cfRule type="expression" dxfId="705" priority="5">
      <formula>H25&gt;0</formula>
    </cfRule>
    <cfRule type="expression" dxfId="704" priority="6">
      <formula>H25&lt;0</formula>
    </cfRule>
  </conditionalFormatting>
  <conditionalFormatting sqref="Q7">
    <cfRule type="expression" dxfId="703" priority="3">
      <formula>Q7&gt;0</formula>
    </cfRule>
    <cfRule type="expression" dxfId="702" priority="4">
      <formula>Q7&lt;0</formula>
    </cfRule>
  </conditionalFormatting>
  <conditionalFormatting sqref="Q8">
    <cfRule type="expression" dxfId="701" priority="1">
      <formula>Q8&gt;0</formula>
    </cfRule>
    <cfRule type="expression" dxfId="70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 t="shared" ref="F2:F7" si="0">C2*D2+E2</f>
        <v>14843.999999999998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1200</v>
      </c>
      <c r="T2" s="457">
        <v>42568</v>
      </c>
      <c r="U2" s="126" t="s">
        <v>248</v>
      </c>
      <c r="V2" s="16"/>
      <c r="W2" s="140">
        <v>42830</v>
      </c>
      <c r="X2" s="141">
        <v>28.64</v>
      </c>
      <c r="Y2" s="141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7">
        <f>AC2/AC3-1</f>
        <v>-1.1542497376705096E-2</v>
      </c>
    </row>
    <row r="3" spans="1:42" x14ac:dyDescent="0.25">
      <c r="A3" s="23" t="s">
        <v>71</v>
      </c>
      <c r="B3" s="501">
        <v>42803</v>
      </c>
      <c r="C3" s="4">
        <v>100</v>
      </c>
      <c r="D3" s="3">
        <v>25.05</v>
      </c>
      <c r="E3" s="3">
        <v>0</v>
      </c>
      <c r="F3" s="3">
        <f t="shared" si="0"/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25.589166666666667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7">
        <f t="shared" ref="AE3:AE66" si="2">AC3/AC4-1</f>
        <v>-1.7458100558659373E-3</v>
      </c>
      <c r="AL3" s="233"/>
      <c r="AO3" s="233"/>
    </row>
    <row r="4" spans="1:42" x14ac:dyDescent="0.25">
      <c r="B4" s="501">
        <v>42809</v>
      </c>
      <c r="C4" s="4">
        <v>200</v>
      </c>
      <c r="D4" s="3">
        <v>24.98</v>
      </c>
      <c r="E4" s="3">
        <v>0</v>
      </c>
      <c r="F4" s="3">
        <f t="shared" si="0"/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27.14</v>
      </c>
      <c r="R4" s="499">
        <v>4.0000000000000002E-4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7">
        <f t="shared" si="2"/>
        <v>-8.996539792387459E-3</v>
      </c>
      <c r="AL4" s="233"/>
      <c r="AO4" s="233"/>
    </row>
    <row r="5" spans="1:42" x14ac:dyDescent="0.25">
      <c r="B5" s="502">
        <v>42818</v>
      </c>
      <c r="C5" s="4">
        <v>100</v>
      </c>
      <c r="D5" s="3">
        <v>28.48</v>
      </c>
      <c r="E5" s="3">
        <v>0</v>
      </c>
      <c r="F5" s="3">
        <f t="shared" si="0"/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32568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7">
        <f t="shared" si="2"/>
        <v>-2.4162927166033743E-3</v>
      </c>
      <c r="AL5" s="233"/>
      <c r="AO5" s="233"/>
    </row>
    <row r="6" spans="1:42" x14ac:dyDescent="0.25">
      <c r="B6" s="502">
        <v>42835</v>
      </c>
      <c r="C6" s="4">
        <v>100</v>
      </c>
      <c r="D6" s="3">
        <v>28.08</v>
      </c>
      <c r="E6" s="3">
        <v>0</v>
      </c>
      <c r="F6" s="3">
        <f t="shared" si="0"/>
        <v>2808</v>
      </c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30707</v>
      </c>
      <c r="T6" s="23" t="s">
        <v>497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7">
        <f t="shared" si="2"/>
        <v>1.6491228070175445E-2</v>
      </c>
      <c r="AL6" s="233"/>
      <c r="AO6" s="233"/>
    </row>
    <row r="7" spans="1:42" x14ac:dyDescent="0.25">
      <c r="B7" s="502">
        <v>42836</v>
      </c>
      <c r="C7" s="4">
        <v>100</v>
      </c>
      <c r="D7" s="3">
        <v>27.06</v>
      </c>
      <c r="E7" s="3">
        <v>0</v>
      </c>
      <c r="F7" s="3">
        <f t="shared" si="0"/>
        <v>2706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17356.866999999853</v>
      </c>
      <c r="R7">
        <v>900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7">
        <f t="shared" si="2"/>
        <v>-6.6225165562914245E-3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1861</v>
      </c>
      <c r="T8" t="s">
        <v>576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7">
        <f t="shared" si="2"/>
        <v>-2.4339360222531692E-3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6.0605073761683004E-2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7">
        <f t="shared" si="2"/>
        <v>1.1607456911713054E-2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7">
        <f t="shared" si="2"/>
        <v>7.4046089913109236E-2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7">
        <f t="shared" si="2"/>
        <v>1.5732924021488959E-2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7">
        <f t="shared" si="2"/>
        <v>2.1159874608150497E-2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8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7">
        <f t="shared" si="2"/>
        <v>-2.6325829835940562E-2</v>
      </c>
    </row>
    <row r="14" spans="1:42" x14ac:dyDescent="0.25">
      <c r="B14" s="501"/>
      <c r="C14" s="4"/>
      <c r="D14" s="3"/>
      <c r="E14" s="3"/>
      <c r="F14" s="3"/>
      <c r="G14" s="708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7">
        <f t="shared" si="2"/>
        <v>1.5891472868217127E-2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7">
        <f t="shared" si="2"/>
        <v>-9.2165898617511122E-3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7">
        <f t="shared" si="2"/>
        <v>-3.0627871362940429E-3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7">
        <f t="shared" si="2"/>
        <v>2.1110242376856991E-2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7">
        <f t="shared" si="2"/>
        <v>-4.6692607003890885E-3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7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7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7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1200</v>
      </c>
      <c r="D22" s="12"/>
      <c r="E22" s="12"/>
      <c r="F22" s="13">
        <f>SUM(F2:F21)</f>
        <v>30707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7">
        <f t="shared" si="2"/>
        <v>-1.0140405616224757E-2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7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7">
        <f t="shared" si="2"/>
        <v>5.4751662104028931E-3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7">
        <f t="shared" si="2"/>
        <v>3.5222672064777472E-2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7">
        <f t="shared" si="2"/>
        <v>6.109979633401208E-3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7">
        <f t="shared" si="2"/>
        <v>4.7354948805460761E-2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7">
        <f t="shared" si="2"/>
        <v>-1.3468013468013518E-2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499</v>
      </c>
      <c r="L29" s="228" t="s">
        <v>778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7">
        <f t="shared" si="2"/>
        <v>2.2375215146299698E-2</v>
      </c>
    </row>
    <row r="30" spans="1:41" x14ac:dyDescent="0.25">
      <c r="A30" s="378" t="s">
        <v>368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79"/>
      <c r="L30" s="379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7">
        <f t="shared" si="2"/>
        <v>-1.0221465076661107E-2</v>
      </c>
    </row>
    <row r="31" spans="1:41" x14ac:dyDescent="0.25">
      <c r="A31" s="378" t="s">
        <v>375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79"/>
      <c r="L31" s="379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7">
        <f t="shared" si="2"/>
        <v>-1.1368421052631583E-2</v>
      </c>
    </row>
    <row r="32" spans="1:41" x14ac:dyDescent="0.25">
      <c r="A32" s="378" t="s">
        <v>376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79"/>
      <c r="L32" s="379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7">
        <f t="shared" si="2"/>
        <v>-8.413967185527671E-4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79"/>
      <c r="L33" s="379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7">
        <f t="shared" si="2"/>
        <v>1.7987152034261156E-2</v>
      </c>
    </row>
    <row r="34" spans="1:41" x14ac:dyDescent="0.25">
      <c r="A34" s="378" t="s">
        <v>377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79"/>
      <c r="L34" s="379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7">
        <f t="shared" si="2"/>
        <v>1.6100957354221013E-2</v>
      </c>
    </row>
    <row r="35" spans="1:41" x14ac:dyDescent="0.25">
      <c r="A35" s="524" t="s">
        <v>401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3"/>
        <v>1467.000449999998</v>
      </c>
      <c r="G35" s="526">
        <f t="shared" si="4"/>
        <v>31175.99955</v>
      </c>
      <c r="H35" s="527">
        <f t="shared" si="5"/>
        <v>4.7055442365118903E-2</v>
      </c>
      <c r="I35" s="526"/>
      <c r="J35" s="526"/>
      <c r="K35" s="526"/>
      <c r="L35" s="526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7">
        <f t="shared" si="2"/>
        <v>-1.7376194613378804E-3</v>
      </c>
    </row>
    <row r="36" spans="1:41" x14ac:dyDescent="0.25">
      <c r="A36" s="524" t="s">
        <v>418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3"/>
        <v>2079.2700000000032</v>
      </c>
      <c r="G36" s="526">
        <f t="shared" si="4"/>
        <v>31130.73</v>
      </c>
      <c r="H36" s="527">
        <f t="shared" si="5"/>
        <v>6.679155933702817E-2</v>
      </c>
      <c r="I36" s="526"/>
      <c r="J36" s="526"/>
      <c r="K36" s="526"/>
      <c r="L36" s="526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7">
        <f t="shared" si="2"/>
        <v>-4.325259515570945E-3</v>
      </c>
      <c r="AL36" s="233"/>
    </row>
    <row r="37" spans="1:41" x14ac:dyDescent="0.25">
      <c r="A37" s="524" t="s">
        <v>444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3"/>
        <v>1356.7692499999996</v>
      </c>
      <c r="G37" s="526">
        <f t="shared" si="4"/>
        <v>35920.730750000002</v>
      </c>
      <c r="H37" s="527">
        <f t="shared" si="5"/>
        <v>3.7771204028191979E-2</v>
      </c>
      <c r="I37" s="526">
        <v>23</v>
      </c>
      <c r="J37" s="526"/>
      <c r="K37" s="526"/>
      <c r="L37" s="526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7">
        <f t="shared" si="2"/>
        <v>-3.2635983263598178E-2</v>
      </c>
    </row>
    <row r="38" spans="1:41" x14ac:dyDescent="0.25">
      <c r="A38" s="524" t="s">
        <v>449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3"/>
        <v>-90.19724999999994</v>
      </c>
      <c r="G38" s="526">
        <f t="shared" si="4"/>
        <v>38238.197250000005</v>
      </c>
      <c r="H38" s="527">
        <f t="shared" si="5"/>
        <v>-2.3588258988856995E-3</v>
      </c>
      <c r="I38" s="526"/>
      <c r="J38" s="526"/>
      <c r="K38" s="526"/>
      <c r="L38" s="526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7">
        <f t="shared" si="2"/>
        <v>-6.2370062370062929E-3</v>
      </c>
    </row>
    <row r="39" spans="1:41" x14ac:dyDescent="0.25">
      <c r="A39" s="524" t="s">
        <v>463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3"/>
        <v>-261.77950000000169</v>
      </c>
      <c r="G39" s="526">
        <f t="shared" si="4"/>
        <v>35880.779500000004</v>
      </c>
      <c r="H39" s="527">
        <f t="shared" si="5"/>
        <v>-7.2958141837470864E-3</v>
      </c>
      <c r="I39" s="526">
        <v>23</v>
      </c>
      <c r="J39" s="526"/>
      <c r="K39" s="526"/>
      <c r="L39" s="526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7">
        <f t="shared" si="2"/>
        <v>-1.6359918200408941E-2</v>
      </c>
    </row>
    <row r="40" spans="1:41" x14ac:dyDescent="0.25">
      <c r="A40" s="665" t="s">
        <v>463</v>
      </c>
      <c r="B40" s="666">
        <v>42788</v>
      </c>
      <c r="C40" s="665">
        <v>1550</v>
      </c>
      <c r="D40" s="684">
        <v>23.390999999999998</v>
      </c>
      <c r="E40" s="667">
        <v>23.75</v>
      </c>
      <c r="F40" s="667">
        <f t="shared" ref="F40" si="6">-C40*(D40-E40)</f>
        <v>556.45000000000277</v>
      </c>
      <c r="G40" s="667">
        <f t="shared" ref="G40" si="7">IF(C40=0, 0,D40*C40)</f>
        <v>36256.049999999996</v>
      </c>
      <c r="H40" s="685">
        <f t="shared" ref="H40" si="8">IF(C40=0, D40, (E40-D40)/D40)</f>
        <v>1.5347783335470985E-2</v>
      </c>
      <c r="I40" s="667">
        <v>23</v>
      </c>
      <c r="J40" s="667"/>
      <c r="K40" s="667"/>
      <c r="L40" s="667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7">
        <f t="shared" si="2"/>
        <v>9.913258983890838E-3</v>
      </c>
    </row>
    <row r="41" spans="1:41" x14ac:dyDescent="0.25">
      <c r="A41" s="665" t="s">
        <v>483</v>
      </c>
      <c r="B41" s="666">
        <v>42790</v>
      </c>
      <c r="C41" s="665">
        <v>1550</v>
      </c>
      <c r="D41" s="684">
        <v>23.390999999999998</v>
      </c>
      <c r="E41" s="667">
        <v>23.24</v>
      </c>
      <c r="F41" s="667">
        <f t="shared" ref="F41" si="9">-C41*(D41-E41)</f>
        <v>-234.0499999999997</v>
      </c>
      <c r="G41" s="667">
        <f t="shared" ref="G41" si="10">IF(C41=0, 0,D41*C41)</f>
        <v>36256.049999999996</v>
      </c>
      <c r="H41" s="685">
        <f t="shared" ref="H41" si="11">IF(C41=0, D41, (E41-D41)/D41)</f>
        <v>-6.4554743277328809E-3</v>
      </c>
      <c r="I41" s="667"/>
      <c r="J41" s="667"/>
      <c r="K41" s="667"/>
      <c r="L41" s="667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7">
        <f t="shared" si="2"/>
        <v>-1.585365853658538E-2</v>
      </c>
    </row>
    <row r="42" spans="1:41" ht="20.25" thickBot="1" x14ac:dyDescent="0.35">
      <c r="A42" s="665"/>
      <c r="B42" s="666">
        <v>42793</v>
      </c>
      <c r="C42" s="665">
        <v>1550</v>
      </c>
      <c r="D42" s="684">
        <v>23.390999999999998</v>
      </c>
      <c r="E42" s="667">
        <v>23.76</v>
      </c>
      <c r="F42" s="667">
        <f t="shared" ref="F42:F43" si="12">-C42*(D42-E42)</f>
        <v>571.95000000000516</v>
      </c>
      <c r="G42" s="667">
        <f t="shared" ref="G42:G43" si="13">IF(C42=0, 0,D42*C42)</f>
        <v>36256.049999999996</v>
      </c>
      <c r="H42" s="685">
        <f t="shared" ref="H42:H43" si="14">IF(C42=0, D42, (E42-D42)/D42)</f>
        <v>1.5775298191612303E-2</v>
      </c>
      <c r="I42" s="667"/>
      <c r="J42" s="667"/>
      <c r="K42" s="667"/>
      <c r="L42" s="667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7">
        <f t="shared" si="2"/>
        <v>1.0682004930156141E-2</v>
      </c>
      <c r="AL42" s="233"/>
      <c r="AO42" s="233"/>
    </row>
    <row r="43" spans="1:41" ht="15.75" thickTop="1" x14ac:dyDescent="0.25">
      <c r="A43" s="665">
        <v>600</v>
      </c>
      <c r="B43" s="666">
        <v>42795</v>
      </c>
      <c r="C43" s="665">
        <v>1200</v>
      </c>
      <c r="D43" s="684">
        <v>23.166550000000001</v>
      </c>
      <c r="E43" s="667">
        <v>24.55</v>
      </c>
      <c r="F43" s="667">
        <f t="shared" si="12"/>
        <v>1660.1399999999999</v>
      </c>
      <c r="G43" s="667">
        <f t="shared" si="13"/>
        <v>27799.86</v>
      </c>
      <c r="H43" s="685">
        <f t="shared" si="14"/>
        <v>5.9717566922998885E-2</v>
      </c>
      <c r="I43" s="667">
        <v>23</v>
      </c>
      <c r="J43" s="667"/>
      <c r="K43" s="667">
        <v>14210</v>
      </c>
      <c r="L43" s="667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7">
        <f t="shared" si="2"/>
        <v>-1.0569105691056957E-2</v>
      </c>
    </row>
    <row r="44" spans="1:41" ht="20.25" thickBot="1" x14ac:dyDescent="0.35">
      <c r="A44" s="665">
        <v>200</v>
      </c>
      <c r="B44" s="666">
        <v>42796</v>
      </c>
      <c r="C44" s="665">
        <v>1200</v>
      </c>
      <c r="D44" s="684">
        <v>22.916799999999999</v>
      </c>
      <c r="E44" s="667">
        <v>24.7</v>
      </c>
      <c r="F44" s="667">
        <f t="shared" ref="F44:F45" si="15">-C44*(D44-E44)</f>
        <v>2139.8400000000011</v>
      </c>
      <c r="G44" s="667">
        <f t="shared" ref="G44:G45" si="16">IF(C44=0, 0,D44*C44)</f>
        <v>27500.16</v>
      </c>
      <c r="H44" s="685">
        <f t="shared" ref="H44:H45" si="17">IF(C44=0, D44, (E44-D44)/D44)</f>
        <v>7.7811910912518364E-2</v>
      </c>
      <c r="I44" s="667">
        <v>22.5</v>
      </c>
      <c r="J44" s="667"/>
      <c r="K44" s="667">
        <v>14690</v>
      </c>
      <c r="L44" s="667">
        <f t="shared" ref="L44:L52" si="18">(G44-K44)/C44</f>
        <v>10.675133333333333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7">
        <f t="shared" si="2"/>
        <v>-7.664380798709014E-3</v>
      </c>
    </row>
    <row r="45" spans="1:41" ht="15.75" thickTop="1" x14ac:dyDescent="0.25">
      <c r="A45" s="665">
        <v>100</v>
      </c>
      <c r="B45" s="666">
        <v>42798</v>
      </c>
      <c r="C45" s="665">
        <v>1000</v>
      </c>
      <c r="D45" s="684">
        <v>22.424299999999999</v>
      </c>
      <c r="E45" s="667">
        <v>25.57</v>
      </c>
      <c r="F45" s="667">
        <f t="shared" si="15"/>
        <v>3145.7000000000016</v>
      </c>
      <c r="G45" s="667">
        <f t="shared" si="16"/>
        <v>22424.3</v>
      </c>
      <c r="H45" s="685">
        <f t="shared" si="17"/>
        <v>0.14028085603563997</v>
      </c>
      <c r="I45" s="667"/>
      <c r="J45" s="667"/>
      <c r="K45" s="667">
        <v>15696</v>
      </c>
      <c r="L45" s="667">
        <f t="shared" si="18"/>
        <v>6.7282999999999991</v>
      </c>
      <c r="N45" s="4"/>
      <c r="O45" s="82">
        <v>1.1000000000000001</v>
      </c>
      <c r="P45" s="82">
        <f>O45*$Q$4</f>
        <v>29.854000000000003</v>
      </c>
      <c r="T45" s="92" t="s">
        <v>100</v>
      </c>
      <c r="U45" s="129" t="s">
        <v>693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7">
        <f t="shared" si="2"/>
        <v>1.6161616161616266E-3</v>
      </c>
    </row>
    <row r="46" spans="1:41" x14ac:dyDescent="0.25">
      <c r="A46" s="665">
        <v>100</v>
      </c>
      <c r="B46" s="666">
        <v>42803</v>
      </c>
      <c r="C46" s="665">
        <v>1100</v>
      </c>
      <c r="D46" s="684">
        <v>22.663</v>
      </c>
      <c r="E46" s="667">
        <v>25.15</v>
      </c>
      <c r="F46" s="667">
        <f t="shared" ref="F46" si="19">-C46*(D46-E46)</f>
        <v>2735.699999999998</v>
      </c>
      <c r="G46" s="667">
        <f t="shared" ref="G46" si="20">IF(C46=0, 0,D46*C46)</f>
        <v>24929.3</v>
      </c>
      <c r="H46" s="685">
        <f t="shared" ref="H46" si="21">IF(C46=0, D46, (E46-D46)/D46)</f>
        <v>0.1097383400255923</v>
      </c>
      <c r="I46" s="667"/>
      <c r="J46" s="667"/>
      <c r="K46" s="667">
        <v>15286</v>
      </c>
      <c r="L46" s="667">
        <f t="shared" si="18"/>
        <v>8.7666363636363638</v>
      </c>
      <c r="N46" s="4"/>
      <c r="O46" s="82">
        <v>1.0900000000000001</v>
      </c>
      <c r="P46" s="82">
        <f t="shared" ref="P46:P65" si="22">O46*$Q$4</f>
        <v>29.582600000000003</v>
      </c>
      <c r="T46" s="92" t="s">
        <v>101</v>
      </c>
      <c r="U46" s="129" t="s">
        <v>694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7">
        <f t="shared" si="2"/>
        <v>2.6545002073828261E-2</v>
      </c>
    </row>
    <row r="47" spans="1:41" x14ac:dyDescent="0.25">
      <c r="A47" s="665">
        <v>0</v>
      </c>
      <c r="B47" s="666">
        <v>42804</v>
      </c>
      <c r="C47" s="665">
        <v>1000</v>
      </c>
      <c r="D47" s="684">
        <v>22.371400000000001</v>
      </c>
      <c r="E47" s="667">
        <v>25.18</v>
      </c>
      <c r="F47" s="667">
        <f t="shared" ref="F47" si="23">-C47*(D47-E47)</f>
        <v>2808.5999999999985</v>
      </c>
      <c r="G47" s="667">
        <f t="shared" ref="G47" si="24">IF(C47=0, 0,D47*C47)</f>
        <v>22371.4</v>
      </c>
      <c r="H47" s="685">
        <f t="shared" ref="H47" si="25">IF(C47=0, D47, (E47-D47)/D47)</f>
        <v>0.12554422164012974</v>
      </c>
      <c r="I47" s="667"/>
      <c r="J47" s="667"/>
      <c r="K47" s="667">
        <v>15359</v>
      </c>
      <c r="L47" s="667">
        <f t="shared" si="18"/>
        <v>7.0124000000000013</v>
      </c>
      <c r="N47" s="4"/>
      <c r="O47" s="82">
        <v>1.08</v>
      </c>
      <c r="P47" s="82">
        <f t="shared" si="22"/>
        <v>29.311200000000003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7">
        <f t="shared" si="2"/>
        <v>-2.8949545078577055E-3</v>
      </c>
    </row>
    <row r="48" spans="1:41" x14ac:dyDescent="0.25">
      <c r="A48" s="665">
        <v>200</v>
      </c>
      <c r="B48" s="666">
        <v>42808</v>
      </c>
      <c r="C48" s="665">
        <v>1000</v>
      </c>
      <c r="D48" s="684">
        <v>22.371400000000001</v>
      </c>
      <c r="E48" s="667">
        <v>25.58</v>
      </c>
      <c r="F48" s="667">
        <f t="shared" ref="F48" si="26">-C48*(D48-E48)</f>
        <v>3208.5999999999972</v>
      </c>
      <c r="G48" s="667">
        <f t="shared" ref="G48" si="27">IF(C48=0, 0,D48*C48)</f>
        <v>22371.4</v>
      </c>
      <c r="H48" s="685">
        <f t="shared" ref="H48" si="28">IF(C48=0, D48, (E48-D48)/D48)</f>
        <v>0.1434241933897743</v>
      </c>
      <c r="I48" s="667">
        <v>22</v>
      </c>
      <c r="J48" s="667"/>
      <c r="K48" s="667">
        <v>15759</v>
      </c>
      <c r="L48" s="667">
        <f t="shared" si="18"/>
        <v>6.6124000000000018</v>
      </c>
      <c r="M48" s="4"/>
      <c r="N48" s="4"/>
      <c r="O48" s="82">
        <v>1.07</v>
      </c>
      <c r="P48" s="82">
        <f t="shared" si="22"/>
        <v>29.039800000000003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7">
        <f t="shared" si="2"/>
        <v>8.7609511889863434E-3</v>
      </c>
    </row>
    <row r="49" spans="1:41" x14ac:dyDescent="0.25">
      <c r="A49" s="476">
        <v>0</v>
      </c>
      <c r="B49" s="475">
        <v>42809</v>
      </c>
      <c r="C49" s="476">
        <v>1000</v>
      </c>
      <c r="D49" s="655">
        <v>24.635000000000002</v>
      </c>
      <c r="E49" s="477">
        <v>26.12</v>
      </c>
      <c r="F49" s="477">
        <f t="shared" ref="F49" si="29">-C49*(D49-E49)</f>
        <v>1484.9999999999995</v>
      </c>
      <c r="G49" s="477">
        <f t="shared" ref="G49" si="30">IF(C49=0, 0,D49*C49)</f>
        <v>24635</v>
      </c>
      <c r="H49" s="690">
        <f t="shared" ref="H49" si="31">IF(C49=0, D49, (E49-D49)/D49)</f>
        <v>6.0280089303835979E-2</v>
      </c>
      <c r="I49" s="477">
        <v>24</v>
      </c>
      <c r="J49" s="477">
        <v>68.36</v>
      </c>
      <c r="K49" s="477">
        <v>16373</v>
      </c>
      <c r="L49" s="477">
        <f t="shared" si="18"/>
        <v>8.2620000000000005</v>
      </c>
      <c r="M49" s="4"/>
      <c r="N49" s="4"/>
      <c r="O49" s="82">
        <v>1.06</v>
      </c>
      <c r="P49" s="82">
        <f t="shared" si="22"/>
        <v>28.768400000000003</v>
      </c>
      <c r="T49" s="92" t="s">
        <v>122</v>
      </c>
      <c r="U49" s="129" t="s">
        <v>587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7">
        <f t="shared" si="2"/>
        <v>1.9132653061224358E-2</v>
      </c>
    </row>
    <row r="50" spans="1:41" x14ac:dyDescent="0.25">
      <c r="A50" s="476">
        <v>0</v>
      </c>
      <c r="B50" s="475">
        <v>42817</v>
      </c>
      <c r="C50" s="476">
        <v>900</v>
      </c>
      <c r="D50" s="655">
        <v>24.152000000000001</v>
      </c>
      <c r="E50" s="477">
        <v>26.47</v>
      </c>
      <c r="F50" s="477">
        <f t="shared" ref="F50" si="32">-C50*(D50-E50)</f>
        <v>2086.199999999998</v>
      </c>
      <c r="G50" s="477">
        <f t="shared" ref="G50" si="33">IF(C50=0, 0,D50*C50)</f>
        <v>21736.799999999999</v>
      </c>
      <c r="H50" s="690">
        <f t="shared" ref="H50" si="34">IF(C50=0, D50, (E50-D50)/D50)</f>
        <v>9.5975488572374867E-2</v>
      </c>
      <c r="I50" s="477"/>
      <c r="J50" s="477"/>
      <c r="K50" s="477">
        <v>16974</v>
      </c>
      <c r="L50" s="477">
        <f t="shared" si="18"/>
        <v>5.2919999999999989</v>
      </c>
      <c r="M50" s="4"/>
      <c r="N50" s="4"/>
      <c r="O50" s="82">
        <v>1.05</v>
      </c>
      <c r="P50" s="82">
        <f t="shared" si="22"/>
        <v>28.497000000000003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7">
        <f t="shared" si="2"/>
        <v>-1.6977928692699651E-3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5">
        <v>24.585000000000001</v>
      </c>
      <c r="E51" s="477">
        <v>28.43</v>
      </c>
      <c r="F51" s="477">
        <f t="shared" ref="F51:F52" si="35">-C51*(D51-E51)</f>
        <v>3844.9999999999991</v>
      </c>
      <c r="G51" s="477">
        <f t="shared" ref="G51:G52" si="36">IF(C51=0, 0,D51*C51)</f>
        <v>24585</v>
      </c>
      <c r="H51" s="690">
        <f t="shared" ref="H51:H52" si="37">IF(C51=0, D51, (E51-D51)/D51)</f>
        <v>0.15639617653040466</v>
      </c>
      <c r="I51" s="477">
        <v>24</v>
      </c>
      <c r="J51" s="477"/>
      <c r="K51" s="477">
        <v>18733</v>
      </c>
      <c r="L51" s="477">
        <f t="shared" si="18"/>
        <v>5.8520000000000003</v>
      </c>
      <c r="M51" s="4"/>
      <c r="N51" s="4"/>
      <c r="O51" s="82">
        <v>1.04</v>
      </c>
      <c r="P51" s="82">
        <f t="shared" si="22"/>
        <v>28.2256</v>
      </c>
      <c r="T51" s="92" t="s">
        <v>105</v>
      </c>
      <c r="U51" s="129" t="s">
        <v>695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7">
        <f t="shared" si="2"/>
        <v>3.1072210065645312E-2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1">
        <f t="shared" si="37"/>
        <v>0.12848807208351518</v>
      </c>
      <c r="I52" s="40">
        <v>25</v>
      </c>
      <c r="J52" s="40"/>
      <c r="K52" s="40">
        <v>18733</v>
      </c>
      <c r="L52" s="40">
        <f t="shared" si="18"/>
        <v>6.46</v>
      </c>
      <c r="M52" s="4"/>
      <c r="N52" s="4"/>
      <c r="O52" s="82">
        <v>1.03</v>
      </c>
      <c r="P52" s="82">
        <f t="shared" si="22"/>
        <v>27.9542</v>
      </c>
      <c r="T52" s="92" t="s">
        <v>106</v>
      </c>
      <c r="U52" s="129" t="s">
        <v>577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7">
        <f t="shared" si="2"/>
        <v>4.3855641845591542E-2</v>
      </c>
    </row>
    <row r="53" spans="1:41" x14ac:dyDescent="0.25">
      <c r="A53" s="4">
        <v>700</v>
      </c>
      <c r="B53" s="192">
        <v>42833</v>
      </c>
      <c r="C53" s="10">
        <v>1000</v>
      </c>
      <c r="D53" s="199">
        <v>25.193000000000001</v>
      </c>
      <c r="E53" s="40">
        <v>28.52</v>
      </c>
      <c r="F53" s="40">
        <f t="shared" ref="F53:F55" si="38">-C53*(D53-E53)</f>
        <v>3326.9999999999982</v>
      </c>
      <c r="G53" s="40">
        <f t="shared" ref="G53:G55" si="39">IF(C53=0, 0,D53*C53)</f>
        <v>25193</v>
      </c>
      <c r="H53" s="231">
        <f t="shared" ref="H53:H55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O53" s="82">
        <v>1.02</v>
      </c>
      <c r="P53" s="82">
        <f t="shared" si="22"/>
        <v>27.6828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7">
        <f t="shared" si="2"/>
        <v>-3.1876138433515333E-3</v>
      </c>
    </row>
    <row r="54" spans="1:41" x14ac:dyDescent="0.25">
      <c r="A54" s="4">
        <v>700</v>
      </c>
      <c r="B54" s="192">
        <v>42835</v>
      </c>
      <c r="C54" s="10">
        <v>1100</v>
      </c>
      <c r="D54" s="199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1">
        <f t="shared" si="40"/>
        <v>8.583775289726979E-2</v>
      </c>
      <c r="I54" s="40"/>
      <c r="J54" s="40"/>
      <c r="K54" s="40">
        <v>17899</v>
      </c>
      <c r="L54" s="40">
        <f>(G54-K54)/C54</f>
        <v>9.183181818181815</v>
      </c>
      <c r="M54" s="4"/>
      <c r="N54" s="4"/>
      <c r="O54" s="82">
        <v>1.01</v>
      </c>
      <c r="P54" s="82">
        <f t="shared" si="22"/>
        <v>27.4114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7">
        <f t="shared" si="2"/>
        <v>1.1515430677107252E-2</v>
      </c>
      <c r="AL54" s="233"/>
      <c r="AO54" s="233"/>
    </row>
    <row r="55" spans="1:41" x14ac:dyDescent="0.25">
      <c r="A55" s="4">
        <v>700</v>
      </c>
      <c r="B55" s="192">
        <v>42836</v>
      </c>
      <c r="C55" s="10">
        <v>1200</v>
      </c>
      <c r="D55" s="199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1">
        <f t="shared" si="40"/>
        <v>6.2175153386220684E-2</v>
      </c>
      <c r="I55" s="40"/>
      <c r="J55" s="40"/>
      <c r="K55" s="40">
        <v>17405</v>
      </c>
      <c r="L55" s="40">
        <f>(G55-K55)/C55</f>
        <v>11.084833333333332</v>
      </c>
      <c r="M55" s="4"/>
      <c r="N55" s="4"/>
      <c r="O55" s="82">
        <v>1</v>
      </c>
      <c r="P55" s="82">
        <f t="shared" si="22"/>
        <v>27.14</v>
      </c>
      <c r="T55" s="92" t="s">
        <v>108</v>
      </c>
      <c r="U55" s="129" t="s">
        <v>696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7">
        <f t="shared" si="2"/>
        <v>-2.7329749103942591E-2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0"/>
      <c r="M56" s="4"/>
      <c r="N56" s="4"/>
      <c r="O56" s="82">
        <v>0.99</v>
      </c>
      <c r="P56" s="82">
        <f t="shared" si="22"/>
        <v>26.868600000000001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7">
        <f t="shared" si="2"/>
        <v>2.6678932842686409E-2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0"/>
      <c r="M57" s="4"/>
      <c r="N57" s="4"/>
      <c r="O57" s="82">
        <v>0.98</v>
      </c>
      <c r="P57" s="82">
        <f t="shared" si="22"/>
        <v>26.597200000000001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7">
        <f t="shared" si="2"/>
        <v>-1.9837691614066788E-2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0"/>
      <c r="M58" s="4"/>
      <c r="N58" s="4"/>
      <c r="O58" s="82">
        <v>0.97</v>
      </c>
      <c r="P58" s="82">
        <f t="shared" si="22"/>
        <v>26.325800000000001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7">
        <f t="shared" si="2"/>
        <v>-5.8269834155086908E-3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0"/>
      <c r="M59" s="4"/>
      <c r="N59" s="4"/>
      <c r="O59" s="82">
        <v>0.96</v>
      </c>
      <c r="P59" s="82">
        <f t="shared" si="22"/>
        <v>26.054400000000001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7">
        <f t="shared" si="2"/>
        <v>-2.1061869240895148E-2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0"/>
      <c r="M60" s="4"/>
      <c r="N60" s="4"/>
      <c r="O60" s="82">
        <v>0.95</v>
      </c>
      <c r="P60" s="82">
        <f t="shared" si="22"/>
        <v>25.782999999999998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7">
        <f t="shared" si="2"/>
        <v>1.3790035587188498E-2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0"/>
      <c r="M61" s="4"/>
      <c r="N61" s="4"/>
      <c r="O61" s="82">
        <v>0.94</v>
      </c>
      <c r="P61" s="82">
        <f t="shared" si="22"/>
        <v>25.511599999999998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7">
        <f t="shared" si="2"/>
        <v>6.2667860340197556E-3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2"/>
        <v>25.240200000000002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7">
        <f t="shared" si="2"/>
        <v>1.3611615245009201E-2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2"/>
        <v>24.968800000000002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7">
        <f t="shared" si="2"/>
        <v>-3.1659882406150919E-3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2"/>
        <v>24.697400000000002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7">
        <f t="shared" si="2"/>
        <v>-1.1180679785330994E-2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2"/>
        <v>24.426000000000002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7">
        <f t="shared" si="2"/>
        <v>-8.4257206208426805E-3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7">
        <f t="shared" si="2"/>
        <v>2.8740875912408814E-2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42">-C70*(D70-E70)</f>
        <v>-3110.9999999999973</v>
      </c>
      <c r="G70" s="557">
        <f t="shared" ref="G70:G79" si="43">IF(C70=0, 0,D70*C70)</f>
        <v>88179</v>
      </c>
      <c r="H70" s="605">
        <f t="shared" ref="H70:H84" si="44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42"/>
        <v>-1812.9999999999875</v>
      </c>
      <c r="G71" s="557">
        <f t="shared" si="43"/>
        <v>84721</v>
      </c>
      <c r="H71" s="605">
        <f t="shared" si="44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42"/>
        <v>-5303.9999999999955</v>
      </c>
      <c r="G72" s="557">
        <f t="shared" si="43"/>
        <v>87975</v>
      </c>
      <c r="H72" s="605">
        <f t="shared" si="44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42"/>
        <v>2303.5000000000036</v>
      </c>
      <c r="G73" s="557">
        <f t="shared" si="43"/>
        <v>46042.899999999994</v>
      </c>
      <c r="H73" s="605">
        <f t="shared" si="44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42"/>
        <v>1305.9000000000083</v>
      </c>
      <c r="G74" s="557">
        <f t="shared" si="43"/>
        <v>49304.979999999996</v>
      </c>
      <c r="H74" s="605">
        <f t="shared" si="44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42"/>
        <v>-2283.9999999999918</v>
      </c>
      <c r="G75" s="557">
        <f t="shared" si="43"/>
        <v>96556.1</v>
      </c>
      <c r="H75" s="605">
        <f t="shared" si="44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42"/>
        <v>-2355</v>
      </c>
      <c r="G76" s="557">
        <f t="shared" si="43"/>
        <v>79834.5</v>
      </c>
      <c r="H76" s="605">
        <f t="shared" si="44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42"/>
        <v>-5211.8000000000056</v>
      </c>
      <c r="G77" s="557">
        <f t="shared" si="43"/>
        <v>85362.200000000012</v>
      </c>
      <c r="H77" s="605">
        <f t="shared" si="44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42"/>
        <v>-9899.9999999999909</v>
      </c>
      <c r="G78" s="557">
        <f t="shared" si="43"/>
        <v>99240</v>
      </c>
      <c r="H78" s="605">
        <f t="shared" si="44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42"/>
        <v>-7337.0000000000055</v>
      </c>
      <c r="G79" s="557">
        <f t="shared" si="43"/>
        <v>84653.8</v>
      </c>
      <c r="H79" s="605">
        <f t="shared" si="44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42"/>
        <v>-6779.9999999999936</v>
      </c>
      <c r="G80" s="557">
        <f t="shared" ref="G80:G107" si="45">IF(C80=0, 0,D80*C80)</f>
        <v>99120</v>
      </c>
      <c r="H80" s="605">
        <f t="shared" si="44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42"/>
        <v>-6881.5999999999967</v>
      </c>
      <c r="G81" s="557">
        <f t="shared" si="45"/>
        <v>84400.8</v>
      </c>
      <c r="H81" s="605">
        <f t="shared" si="44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42"/>
        <v>-3768.0000000000032</v>
      </c>
      <c r="G82" s="557">
        <f t="shared" si="45"/>
        <v>78798.3</v>
      </c>
      <c r="H82" s="605">
        <f t="shared" si="44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42"/>
        <v>-4301.0000000000073</v>
      </c>
      <c r="G83" s="557">
        <f t="shared" si="45"/>
        <v>84350.200000000012</v>
      </c>
      <c r="H83" s="605">
        <f t="shared" si="44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42"/>
        <v>-5211.8000000000056</v>
      </c>
      <c r="G84" s="557">
        <f t="shared" si="45"/>
        <v>84198.400000000009</v>
      </c>
      <c r="H84" s="605">
        <f t="shared" si="44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42"/>
        <v>-11782.399999999992</v>
      </c>
      <c r="G85" s="557">
        <f t="shared" si="45"/>
        <v>87105.599999999991</v>
      </c>
      <c r="H85" s="605">
        <f t="shared" ref="H85:H107" si="46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42"/>
        <v>-9968.1999999999935</v>
      </c>
      <c r="G86" s="557">
        <f t="shared" si="45"/>
        <v>84147.799999999988</v>
      </c>
      <c r="H86" s="605">
        <f t="shared" si="46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42"/>
        <v>-13054.80000000001</v>
      </c>
      <c r="G87" s="557">
        <f t="shared" si="45"/>
        <v>84097.200000000012</v>
      </c>
      <c r="H87" s="605">
        <f t="shared" si="46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42"/>
        <v>-13079.999999999998</v>
      </c>
      <c r="G88" s="557">
        <f t="shared" si="45"/>
        <v>97320</v>
      </c>
      <c r="H88" s="605">
        <f t="shared" si="46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42"/>
        <v>-13020.000000000009</v>
      </c>
      <c r="G89" s="557">
        <f t="shared" si="45"/>
        <v>100068</v>
      </c>
      <c r="H89" s="605">
        <f t="shared" si="46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42"/>
        <v>-13043.880000000006</v>
      </c>
      <c r="G90" s="557">
        <f t="shared" si="45"/>
        <v>93366.720000000001</v>
      </c>
      <c r="H90" s="605">
        <f t="shared" si="46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42"/>
        <v>-13025.958000000004</v>
      </c>
      <c r="G91" s="557">
        <f t="shared" si="45"/>
        <v>84068.358000000007</v>
      </c>
      <c r="H91" s="605">
        <f t="shared" si="46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42"/>
        <v>-11521.114000000007</v>
      </c>
      <c r="G92" s="557">
        <f t="shared" si="45"/>
        <v>83980.314000000013</v>
      </c>
      <c r="H92" s="605">
        <f t="shared" si="46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42"/>
        <v>-11410.000000000005</v>
      </c>
      <c r="G93" s="557">
        <f t="shared" si="45"/>
        <v>111790</v>
      </c>
      <c r="H93" s="605">
        <f t="shared" si="46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42"/>
        <v>-11220.000000000005</v>
      </c>
      <c r="G94" s="557">
        <f t="shared" si="45"/>
        <v>97380</v>
      </c>
      <c r="H94" s="605">
        <f t="shared" si="46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42"/>
        <v>-11211.199999999997</v>
      </c>
      <c r="G95" s="557">
        <f t="shared" si="45"/>
        <v>90191.2</v>
      </c>
      <c r="H95" s="605">
        <f t="shared" si="46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42"/>
        <v>-9664.6</v>
      </c>
      <c r="G96" s="557">
        <f t="shared" si="45"/>
        <v>83743</v>
      </c>
      <c r="H96" s="605">
        <f t="shared" si="46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42"/>
        <v>-9794.1360000000041</v>
      </c>
      <c r="G97" s="557">
        <f t="shared" si="45"/>
        <v>83720.736000000004</v>
      </c>
      <c r="H97" s="605">
        <f t="shared" si="46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42"/>
        <v>-16274.965999999995</v>
      </c>
      <c r="G98" s="557">
        <f t="shared" si="45"/>
        <v>86390.766000000003</v>
      </c>
      <c r="H98" s="605">
        <f t="shared" si="46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42"/>
        <v>-29899.999999999993</v>
      </c>
      <c r="G99" s="557">
        <f t="shared" si="45"/>
        <v>83600</v>
      </c>
      <c r="H99" s="605">
        <f t="shared" si="46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42"/>
        <v>-28718.02199999999</v>
      </c>
      <c r="G100" s="557">
        <f t="shared" si="45"/>
        <v>86367.621999999988</v>
      </c>
      <c r="H100" s="605">
        <f t="shared" si="46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42"/>
        <v>-30321.199999999997</v>
      </c>
      <c r="G101" s="557">
        <f t="shared" si="45"/>
        <v>81015.199999999997</v>
      </c>
      <c r="H101" s="605">
        <f t="shared" si="46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42"/>
        <v>-29806.800000000003</v>
      </c>
      <c r="G102" s="557">
        <f t="shared" si="45"/>
        <v>72786.8</v>
      </c>
      <c r="H102" s="605">
        <f t="shared" si="46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42"/>
        <v>-29239.199999999993</v>
      </c>
      <c r="G103" s="557">
        <f t="shared" si="45"/>
        <v>68155.199999999997</v>
      </c>
      <c r="H103" s="605">
        <f t="shared" si="46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42"/>
        <v>-30856.212000000007</v>
      </c>
      <c r="G104" s="557">
        <f t="shared" si="45"/>
        <v>86033.612000000008</v>
      </c>
      <c r="H104" s="605">
        <f t="shared" si="46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42"/>
        <v>-24651.563999999995</v>
      </c>
      <c r="G105" s="557">
        <f t="shared" si="45"/>
        <v>80248.363999999987</v>
      </c>
      <c r="H105" s="605">
        <f t="shared" si="46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42"/>
        <v>-24751.381000000001</v>
      </c>
      <c r="G106" s="557">
        <f t="shared" si="45"/>
        <v>86009.581000000006</v>
      </c>
      <c r="H106" s="605">
        <f t="shared" si="46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42"/>
        <v>-28613.610000000004</v>
      </c>
      <c r="G107" s="557">
        <f t="shared" si="45"/>
        <v>86010.11</v>
      </c>
      <c r="H107" s="605">
        <f t="shared" si="46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7">-C108*(D108-E108)</f>
        <v>-28406.616000000002</v>
      </c>
      <c r="G108" s="557">
        <f t="shared" ref="G108:G146" si="48">IF(C108=0, 0,D108*C108)</f>
        <v>85963.266000000003</v>
      </c>
      <c r="H108" s="605">
        <f t="shared" ref="H108:H146" si="49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7"/>
        <v>-27248.360000000008</v>
      </c>
      <c r="G109" s="557">
        <f t="shared" si="48"/>
        <v>85919.360000000015</v>
      </c>
      <c r="H109" s="605">
        <f t="shared" si="49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7"/>
        <v>-26871.468499999992</v>
      </c>
      <c r="G110" s="557">
        <f t="shared" si="48"/>
        <v>84298.1685</v>
      </c>
      <c r="H110" s="605">
        <f t="shared" si="49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7"/>
        <v>-24742.084500000001</v>
      </c>
      <c r="G111" s="557">
        <f t="shared" si="48"/>
        <v>70382.784499999994</v>
      </c>
      <c r="H111" s="605">
        <f t="shared" si="49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7"/>
        <v>-25084.414000000001</v>
      </c>
      <c r="G112" s="557">
        <f t="shared" si="48"/>
        <v>85258.813999999998</v>
      </c>
      <c r="H112" s="605">
        <f t="shared" si="49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7"/>
        <v>-29256.487999999998</v>
      </c>
      <c r="G113" s="557">
        <f t="shared" si="48"/>
        <v>86340.487999999998</v>
      </c>
      <c r="H113" s="605">
        <f t="shared" si="49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7"/>
        <v>-27809.620000000003</v>
      </c>
      <c r="G114" s="557">
        <f t="shared" si="48"/>
        <v>85248.82</v>
      </c>
      <c r="H114" s="605">
        <f t="shared" si="49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7"/>
        <v>-30544.820000000003</v>
      </c>
      <c r="G115" s="557">
        <f t="shared" si="48"/>
        <v>85248.82</v>
      </c>
      <c r="H115" s="605">
        <f t="shared" si="49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7"/>
        <v>-30549.887999999995</v>
      </c>
      <c r="G116" s="557">
        <f t="shared" si="48"/>
        <v>90453.887999999992</v>
      </c>
      <c r="H116" s="605">
        <f t="shared" si="49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7"/>
        <v>-28441.346000000009</v>
      </c>
      <c r="G117" s="557">
        <f t="shared" si="48"/>
        <v>85038.946000000011</v>
      </c>
      <c r="H117" s="605">
        <f t="shared" si="49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7"/>
        <v>-31628.763999999996</v>
      </c>
      <c r="G118" s="557">
        <f t="shared" si="48"/>
        <v>91224.963999999993</v>
      </c>
      <c r="H118" s="605">
        <f t="shared" si="49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7"/>
        <v>-27540.307999999997</v>
      </c>
      <c r="G119" s="557">
        <f t="shared" si="48"/>
        <v>84769.108000000007</v>
      </c>
      <c r="H119" s="605">
        <f t="shared" si="49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7"/>
        <v>-28697.508000000002</v>
      </c>
      <c r="G120" s="557">
        <f t="shared" si="48"/>
        <v>84769.108000000007</v>
      </c>
      <c r="H120" s="605">
        <f t="shared" si="49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7"/>
        <v>-24361.662</v>
      </c>
      <c r="G121" s="557">
        <f t="shared" si="48"/>
        <v>73394.262000000002</v>
      </c>
      <c r="H121" s="605">
        <f t="shared" si="49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7"/>
        <v>-23878.821999999989</v>
      </c>
      <c r="G122" s="557">
        <f t="shared" si="48"/>
        <v>84684.421999999991</v>
      </c>
      <c r="H122" s="605">
        <f t="shared" si="49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7"/>
        <v>-23451.183999999997</v>
      </c>
      <c r="G123" s="557">
        <f t="shared" si="48"/>
        <v>84572.383999999991</v>
      </c>
      <c r="H123" s="605">
        <f t="shared" si="49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7"/>
        <v>-28042.299999999996</v>
      </c>
      <c r="G124" s="557">
        <f t="shared" si="48"/>
        <v>87167.3</v>
      </c>
      <c r="H124" s="605">
        <f t="shared" si="49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7"/>
        <v>-32191.9</v>
      </c>
      <c r="G125" s="557">
        <f t="shared" si="48"/>
        <v>97191.900000000009</v>
      </c>
      <c r="H125" s="605">
        <f t="shared" si="49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7"/>
        <v>-31551.299999999996</v>
      </c>
      <c r="G126" s="557">
        <f t="shared" si="48"/>
        <v>86881.3</v>
      </c>
      <c r="H126" s="605">
        <f t="shared" si="49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7"/>
        <v>-34151.30000000001</v>
      </c>
      <c r="G127" s="557">
        <f t="shared" si="48"/>
        <v>115921.3</v>
      </c>
      <c r="H127" s="605">
        <f t="shared" si="49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7"/>
        <v>-33961.949999999997</v>
      </c>
      <c r="G128" s="557">
        <f t="shared" si="48"/>
        <v>86651.95</v>
      </c>
      <c r="H128" s="605">
        <f t="shared" si="49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7"/>
        <v>-27277.000000000004</v>
      </c>
      <c r="G129" s="557">
        <f t="shared" si="48"/>
        <v>81277.000000000015</v>
      </c>
      <c r="H129" s="605">
        <f t="shared" si="49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7"/>
        <v>-23679.899999999991</v>
      </c>
      <c r="G130" s="557">
        <f t="shared" si="48"/>
        <v>75384.899999999994</v>
      </c>
      <c r="H130" s="605">
        <f t="shared" si="49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7"/>
        <v>-23160.150000000005</v>
      </c>
      <c r="G131" s="557">
        <f t="shared" si="48"/>
        <v>75360.150000000009</v>
      </c>
      <c r="H131" s="605">
        <f t="shared" si="49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7"/>
        <v>-21580</v>
      </c>
      <c r="G132" s="557">
        <f t="shared" si="48"/>
        <v>69380</v>
      </c>
      <c r="H132" s="605">
        <f t="shared" si="49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7"/>
        <v>-20050.800000000003</v>
      </c>
      <c r="G133" s="557">
        <f t="shared" si="48"/>
        <v>69290.8</v>
      </c>
      <c r="H133" s="605">
        <f t="shared" si="49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7"/>
        <v>-16837.537500000002</v>
      </c>
      <c r="G134" s="557">
        <f t="shared" si="48"/>
        <v>61016.287500000006</v>
      </c>
      <c r="H134" s="605">
        <f t="shared" si="49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7"/>
        <v>-17476.399999999998</v>
      </c>
      <c r="G135" s="557">
        <f t="shared" si="48"/>
        <v>68916.399999999994</v>
      </c>
      <c r="H135" s="605">
        <f t="shared" si="49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7"/>
        <v>-18696.400000000005</v>
      </c>
      <c r="G136" s="557">
        <f t="shared" si="48"/>
        <v>68736.400000000009</v>
      </c>
      <c r="H136" s="605">
        <f t="shared" si="49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7"/>
        <v>-20214.768</v>
      </c>
      <c r="G137" s="557">
        <f t="shared" si="48"/>
        <v>78001.168000000005</v>
      </c>
      <c r="H137" s="605">
        <f t="shared" si="49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7"/>
        <v>-21262.920000000002</v>
      </c>
      <c r="G138" s="557">
        <f t="shared" si="48"/>
        <v>78002.12</v>
      </c>
      <c r="H138" s="605">
        <f t="shared" si="49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7"/>
        <v>-20999.216</v>
      </c>
      <c r="G139" s="557">
        <f t="shared" si="48"/>
        <v>77881.216</v>
      </c>
      <c r="H139" s="605">
        <f t="shared" si="49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7"/>
        <v>-19042.620000000006</v>
      </c>
      <c r="G140" s="557">
        <f t="shared" si="48"/>
        <v>75714.62000000001</v>
      </c>
      <c r="H140" s="605">
        <f t="shared" si="49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7"/>
        <v>-17040.800000000003</v>
      </c>
      <c r="G141" s="557">
        <f t="shared" si="48"/>
        <v>68040.800000000003</v>
      </c>
      <c r="H141" s="605">
        <f t="shared" si="49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7"/>
        <v>-12255.250000000002</v>
      </c>
      <c r="G142" s="557">
        <f t="shared" si="48"/>
        <v>47380.250000000007</v>
      </c>
      <c r="H142" s="605">
        <f t="shared" si="49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7"/>
        <v>-13580.100000000006</v>
      </c>
      <c r="G143" s="557">
        <f t="shared" si="48"/>
        <v>54140.100000000006</v>
      </c>
      <c r="H143" s="605">
        <f t="shared" si="49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7"/>
        <v>-13760.25</v>
      </c>
      <c r="G144" s="557">
        <f t="shared" si="48"/>
        <v>60870.25</v>
      </c>
      <c r="H144" s="605">
        <f t="shared" si="49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7"/>
        <v>-14250</v>
      </c>
      <c r="G145" s="557">
        <f t="shared" si="48"/>
        <v>67530</v>
      </c>
      <c r="H145" s="605">
        <f t="shared" si="49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7"/>
        <v>-19047.14</v>
      </c>
      <c r="G146" s="557">
        <f t="shared" si="48"/>
        <v>77261.94</v>
      </c>
      <c r="H146" s="605">
        <f t="shared" si="49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50">-C147*(D147-E147)</f>
        <v>-19222.143999999993</v>
      </c>
      <c r="G147" s="557">
        <f t="shared" ref="G147:G194" si="51">IF(C147=0, 0,D147*C147)</f>
        <v>83551.944000000003</v>
      </c>
      <c r="H147" s="605">
        <f t="shared" ref="H147:H194" si="52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50"/>
        <v>-15240.149999999998</v>
      </c>
      <c r="G148" s="557">
        <f t="shared" si="51"/>
        <v>73695.149999999994</v>
      </c>
      <c r="H148" s="605">
        <f t="shared" si="52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50"/>
        <v>-14340.15</v>
      </c>
      <c r="G149" s="557">
        <f t="shared" si="51"/>
        <v>73695.149999999994</v>
      </c>
      <c r="H149" s="605">
        <f t="shared" si="52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50"/>
        <v>-11794.000000000004</v>
      </c>
      <c r="G150" s="557">
        <f t="shared" si="51"/>
        <v>66834</v>
      </c>
      <c r="H150" s="605">
        <f t="shared" si="52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50"/>
        <v>-11115.000000000004</v>
      </c>
      <c r="G151" s="557">
        <f t="shared" si="51"/>
        <v>73035</v>
      </c>
      <c r="H151" s="605">
        <f t="shared" si="52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50"/>
        <v>-16785.000000000004</v>
      </c>
      <c r="G152" s="557">
        <f t="shared" si="51"/>
        <v>73035</v>
      </c>
      <c r="H152" s="605">
        <f t="shared" si="52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50"/>
        <v>-19431.5</v>
      </c>
      <c r="G153" s="557">
        <f t="shared" si="51"/>
        <v>78981.5</v>
      </c>
      <c r="H153" s="605">
        <f t="shared" si="52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50"/>
        <v>-17741.700000000012</v>
      </c>
      <c r="G154" s="557">
        <f t="shared" si="51"/>
        <v>72641.700000000012</v>
      </c>
      <c r="H154" s="605">
        <f t="shared" si="52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50"/>
        <v>-15851.700000000012</v>
      </c>
      <c r="G155" s="557">
        <f t="shared" si="51"/>
        <v>72641.700000000012</v>
      </c>
      <c r="H155" s="605">
        <f t="shared" si="52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50"/>
        <v>-15763.5</v>
      </c>
      <c r="G156" s="557">
        <f t="shared" si="51"/>
        <v>72643.5</v>
      </c>
      <c r="H156" s="605">
        <f t="shared" si="52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50"/>
        <v>-13333.500000000004</v>
      </c>
      <c r="G157" s="557">
        <f t="shared" si="51"/>
        <v>72643.5</v>
      </c>
      <c r="H157" s="605">
        <f t="shared" si="52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50"/>
        <v>-10052</v>
      </c>
      <c r="G158" s="557">
        <f t="shared" si="51"/>
        <v>65732</v>
      </c>
      <c r="H158" s="605">
        <f t="shared" si="52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50"/>
        <v>-7249.2800000000043</v>
      </c>
      <c r="G159" s="557">
        <f t="shared" si="51"/>
        <v>54193.280000000006</v>
      </c>
      <c r="H159" s="605">
        <f t="shared" si="52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50"/>
        <v>-8771.3200000000015</v>
      </c>
      <c r="G160" s="557">
        <f t="shared" si="51"/>
        <v>57017.32</v>
      </c>
      <c r="H160" s="605">
        <f t="shared" si="52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50"/>
        <v>-10069.200000000003</v>
      </c>
      <c r="G161" s="557">
        <f t="shared" si="51"/>
        <v>65309.200000000004</v>
      </c>
      <c r="H161" s="605">
        <f t="shared" si="52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50"/>
        <v>-10289.249999999993</v>
      </c>
      <c r="G162" s="557">
        <f t="shared" si="51"/>
        <v>72119.25</v>
      </c>
      <c r="H162" s="605">
        <f t="shared" si="52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50"/>
        <v>-11755.169999999996</v>
      </c>
      <c r="G163" s="557">
        <f t="shared" si="51"/>
        <v>74735.17</v>
      </c>
      <c r="H163" s="605">
        <f t="shared" si="52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50"/>
        <v>-8821.7999999999993</v>
      </c>
      <c r="G164" s="557">
        <f t="shared" si="51"/>
        <v>71956.800000000003</v>
      </c>
      <c r="H164" s="605">
        <f t="shared" si="52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50"/>
        <v>-6552.0000000000064</v>
      </c>
      <c r="G165" s="557">
        <f t="shared" si="51"/>
        <v>64632.000000000007</v>
      </c>
      <c r="H165" s="605">
        <f t="shared" si="52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50"/>
        <v>-7832.0000000000082</v>
      </c>
      <c r="G166" s="557">
        <f t="shared" si="51"/>
        <v>64632.000000000007</v>
      </c>
      <c r="H166" s="605">
        <f t="shared" si="52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50"/>
        <v>-3677.4000000000024</v>
      </c>
      <c r="G167" s="557">
        <f t="shared" si="51"/>
        <v>34737.4</v>
      </c>
      <c r="H167" s="605">
        <f t="shared" si="52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50"/>
        <v>-3622.5999999999985</v>
      </c>
      <c r="G168" s="557">
        <f t="shared" si="51"/>
        <v>34662.6</v>
      </c>
      <c r="H168" s="605">
        <f t="shared" si="52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50"/>
        <v>-3122.5999999999985</v>
      </c>
      <c r="G169" s="557">
        <f t="shared" si="51"/>
        <v>34662.6</v>
      </c>
      <c r="H169" s="605">
        <f t="shared" si="52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50"/>
        <v>-2162.5999999999976</v>
      </c>
      <c r="G170" s="557">
        <f t="shared" si="51"/>
        <v>34662.6</v>
      </c>
      <c r="H170" s="605">
        <f t="shared" si="52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50"/>
        <v>-2282.5999999999949</v>
      </c>
      <c r="G171" s="557">
        <f t="shared" si="51"/>
        <v>34662.6</v>
      </c>
      <c r="H171" s="605">
        <f t="shared" si="52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50"/>
        <v>-2262.599999999999</v>
      </c>
      <c r="G172" s="557">
        <f t="shared" si="51"/>
        <v>34662.6</v>
      </c>
      <c r="H172" s="605">
        <f t="shared" si="52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50"/>
        <v>-842.59999999999741</v>
      </c>
      <c r="G173" s="557">
        <f t="shared" si="51"/>
        <v>34662.6</v>
      </c>
      <c r="H173" s="605">
        <f t="shared" si="52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50"/>
        <v>-1182.6000000000008</v>
      </c>
      <c r="G174" s="557">
        <f t="shared" si="51"/>
        <v>34662.6</v>
      </c>
      <c r="H174" s="605">
        <f t="shared" si="52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50"/>
        <v>-1262.599999999999</v>
      </c>
      <c r="G175" s="557">
        <f t="shared" si="51"/>
        <v>34662.6</v>
      </c>
      <c r="H175" s="605">
        <f t="shared" si="52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50"/>
        <v>-527.79999999999916</v>
      </c>
      <c r="G176" s="557">
        <f t="shared" si="51"/>
        <v>34547.800000000003</v>
      </c>
      <c r="H176" s="605">
        <f t="shared" si="52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50"/>
        <v>-148.00000000000324</v>
      </c>
      <c r="G177" s="557">
        <f t="shared" si="51"/>
        <v>34468</v>
      </c>
      <c r="H177" s="605">
        <f t="shared" si="52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50"/>
        <v>421.79999999999751</v>
      </c>
      <c r="G178" s="557">
        <f t="shared" si="51"/>
        <v>25753.200000000001</v>
      </c>
      <c r="H178" s="605">
        <f t="shared" si="52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50"/>
        <v>-655.79999999999927</v>
      </c>
      <c r="G179" s="557">
        <f t="shared" si="51"/>
        <v>34275.799999999996</v>
      </c>
      <c r="H179" s="605">
        <f t="shared" si="52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50"/>
        <v>24.200000000000443</v>
      </c>
      <c r="G180" s="557">
        <f t="shared" si="51"/>
        <v>34275.799999999996</v>
      </c>
      <c r="H180" s="605">
        <f t="shared" si="52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50"/>
        <v>-748.650000000001</v>
      </c>
      <c r="G181" s="557">
        <f t="shared" si="51"/>
        <v>35923.65</v>
      </c>
      <c r="H181" s="605">
        <f t="shared" si="52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50"/>
        <v>-370.65000000000163</v>
      </c>
      <c r="G182" s="557">
        <f t="shared" si="51"/>
        <v>35923.65</v>
      </c>
      <c r="H182" s="605">
        <f t="shared" si="52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50"/>
        <v>721.34999999999752</v>
      </c>
      <c r="G183" s="557">
        <f t="shared" si="51"/>
        <v>35923.65</v>
      </c>
      <c r="H183" s="605">
        <f t="shared" si="52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50"/>
        <v>784.34999999999991</v>
      </c>
      <c r="G184" s="557">
        <f t="shared" si="51"/>
        <v>35923.65</v>
      </c>
      <c r="H184" s="605">
        <f t="shared" si="52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50"/>
        <v>-328.71300000000014</v>
      </c>
      <c r="G185" s="557">
        <f t="shared" si="51"/>
        <v>35923.712999999996</v>
      </c>
      <c r="H185" s="605">
        <f t="shared" si="52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50"/>
        <v>1147.1040000000016</v>
      </c>
      <c r="G186" s="557">
        <f t="shared" si="51"/>
        <v>27108.895999999997</v>
      </c>
      <c r="H186" s="605">
        <f t="shared" si="52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50"/>
        <v>1035.1040000000012</v>
      </c>
      <c r="G187" s="557">
        <f t="shared" si="51"/>
        <v>27108.895999999997</v>
      </c>
      <c r="H187" s="605">
        <f t="shared" si="52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50"/>
        <v>1691.1040000000014</v>
      </c>
      <c r="G188" s="557">
        <f t="shared" si="51"/>
        <v>27108.895999999997</v>
      </c>
      <c r="H188" s="605">
        <f t="shared" si="52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50"/>
        <v>829.27800000000434</v>
      </c>
      <c r="G189" s="557">
        <f t="shared" si="51"/>
        <v>30562.721999999998</v>
      </c>
      <c r="H189" s="605">
        <f t="shared" si="52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50"/>
        <v>1441.2780000000041</v>
      </c>
      <c r="G190" s="557">
        <f t="shared" si="51"/>
        <v>30562.721999999998</v>
      </c>
      <c r="H190" s="605">
        <f t="shared" si="52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50"/>
        <v>1621.2799999999988</v>
      </c>
      <c r="G191" s="557">
        <f t="shared" si="51"/>
        <v>33978.720000000001</v>
      </c>
      <c r="H191" s="605">
        <f t="shared" si="52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50"/>
        <v>1421.2799999999959</v>
      </c>
      <c r="G192" s="557">
        <f t="shared" si="51"/>
        <v>33978.720000000001</v>
      </c>
      <c r="H192" s="605">
        <f t="shared" si="52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50"/>
        <v>987.2939999999993</v>
      </c>
      <c r="G193" s="557">
        <f t="shared" si="51"/>
        <v>37314.705999999998</v>
      </c>
      <c r="H193" s="605">
        <f t="shared" si="52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50"/>
        <v>563.20000000000186</v>
      </c>
      <c r="G194" s="557">
        <f t="shared" si="51"/>
        <v>33866.799999999996</v>
      </c>
      <c r="H194" s="605">
        <f t="shared" si="52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53">-C195*(D195-E195)</f>
        <v>13.200000000004763</v>
      </c>
      <c r="G195" s="557">
        <f t="shared" ref="G195:G200" si="54">IF(C195=0, 0,D195*C195)</f>
        <v>33866.799999999996</v>
      </c>
      <c r="H195" s="605">
        <f t="shared" ref="H195:H200" si="55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53"/>
        <v>1215.1259999999966</v>
      </c>
      <c r="G196" s="557">
        <f t="shared" si="54"/>
        <v>30356.874000000003</v>
      </c>
      <c r="H196" s="605">
        <f t="shared" si="55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53"/>
        <v>1490.8199999999993</v>
      </c>
      <c r="G197" s="557">
        <f t="shared" si="54"/>
        <v>16149.18</v>
      </c>
      <c r="H197" s="605">
        <f t="shared" si="55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53"/>
        <v>1396.8179999999988</v>
      </c>
      <c r="G198" s="557">
        <f t="shared" si="54"/>
        <v>30157.182000000004</v>
      </c>
      <c r="H198" s="605">
        <f t="shared" si="55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53"/>
        <v>1418.8200000000038</v>
      </c>
      <c r="G199" s="557">
        <f t="shared" si="54"/>
        <v>33641.18</v>
      </c>
      <c r="H199" s="605">
        <f t="shared" si="55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53"/>
        <v>894.66600000000085</v>
      </c>
      <c r="G200" s="557">
        <f t="shared" si="54"/>
        <v>33505.333999999995</v>
      </c>
      <c r="H200" s="605">
        <f t="shared" si="55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6">-C203*(D203-E203)</f>
        <v>-135.39999999999708</v>
      </c>
      <c r="G203" s="557">
        <f t="shared" ref="G203:G214" si="57">IF(C203=0, 0,D203*C203)</f>
        <v>33485.4</v>
      </c>
      <c r="H203" s="605">
        <f t="shared" ref="H203:H214" si="58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6"/>
        <v>-85.39999999999992</v>
      </c>
      <c r="G204" s="557">
        <f t="shared" si="57"/>
        <v>33445.4</v>
      </c>
      <c r="H204" s="605">
        <f t="shared" si="58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6"/>
        <v>6304.4477999999999</v>
      </c>
      <c r="G205" s="557">
        <f t="shared" si="57"/>
        <v>29929.552199999998</v>
      </c>
      <c r="H205" s="605">
        <f t="shared" si="58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6"/>
        <v>6185.8829999999971</v>
      </c>
      <c r="G206" s="557">
        <f t="shared" si="57"/>
        <v>26913.117000000002</v>
      </c>
      <c r="H206" s="605">
        <f t="shared" si="58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6"/>
        <v>3488.9400000000032</v>
      </c>
      <c r="G207" s="557">
        <f t="shared" si="57"/>
        <v>29775.059999999998</v>
      </c>
      <c r="H207" s="605">
        <f t="shared" si="58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6"/>
        <v>3544.800000000002</v>
      </c>
      <c r="G208" s="557">
        <f t="shared" si="57"/>
        <v>33415.199999999997</v>
      </c>
      <c r="H208" s="605">
        <f t="shared" si="58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6"/>
        <v>4164.8400000000011</v>
      </c>
      <c r="G209" s="557">
        <f t="shared" si="57"/>
        <v>29657.159999999996</v>
      </c>
      <c r="H209" s="605">
        <f t="shared" si="58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6"/>
        <v>4696.7399999999952</v>
      </c>
      <c r="G210" s="557">
        <f t="shared" si="57"/>
        <v>29611.260000000002</v>
      </c>
      <c r="H210" s="605">
        <f t="shared" si="58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6"/>
        <v>6995.4000000000015</v>
      </c>
      <c r="G211" s="557">
        <f t="shared" si="57"/>
        <v>13444.599999999999</v>
      </c>
      <c r="H211" s="605">
        <f t="shared" si="58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6"/>
        <v>6822.3599999999979</v>
      </c>
      <c r="G212" s="557">
        <f t="shared" si="57"/>
        <v>29213.640000000003</v>
      </c>
      <c r="H212" s="605">
        <f t="shared" si="58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6"/>
        <v>6817.7999999999993</v>
      </c>
      <c r="G213" s="557">
        <f t="shared" si="57"/>
        <v>26215.200000000001</v>
      </c>
      <c r="H213" s="605">
        <f t="shared" si="58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6"/>
        <v>7021.4999999999991</v>
      </c>
      <c r="G214" s="557">
        <f t="shared" si="57"/>
        <v>24180</v>
      </c>
      <c r="H214" s="605">
        <f t="shared" si="58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9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60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9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60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9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60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9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60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9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60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9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60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9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60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9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60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9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60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9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60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9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60"/>
        <v>1795</v>
      </c>
      <c r="G243" s="707">
        <v>42314</v>
      </c>
      <c r="H243" s="260">
        <v>2200</v>
      </c>
      <c r="I243" s="261">
        <v>17.55</v>
      </c>
      <c r="J243" s="261">
        <v>0.77</v>
      </c>
      <c r="K243" s="261">
        <f t="shared" si="59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60"/>
        <v>1241.5</v>
      </c>
      <c r="G244" s="707"/>
      <c r="H244" s="260">
        <v>190</v>
      </c>
      <c r="I244" s="261">
        <v>17.55</v>
      </c>
      <c r="J244" s="261">
        <v>0</v>
      </c>
      <c r="K244" s="261">
        <f t="shared" si="59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60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9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60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9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60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9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60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9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60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9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60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9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60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9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60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9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60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9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60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9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60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9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60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9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60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9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60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9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60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9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60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9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60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9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60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9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60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9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60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9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60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9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60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9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60"/>
        <v>1610.0000000000002</v>
      </c>
      <c r="G267" s="707">
        <v>42447</v>
      </c>
      <c r="H267" s="266">
        <v>355</v>
      </c>
      <c r="I267" s="261">
        <v>11.13</v>
      </c>
      <c r="J267" s="261">
        <v>0.12</v>
      </c>
      <c r="K267" s="261">
        <f t="shared" si="59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60"/>
        <v>13119.999999999998</v>
      </c>
      <c r="G268" s="707"/>
      <c r="H268" s="266">
        <v>40</v>
      </c>
      <c r="I268" s="261">
        <v>11.13</v>
      </c>
      <c r="J268" s="261">
        <v>0</v>
      </c>
      <c r="K268" s="261">
        <f t="shared" si="59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60"/>
        <v>7900</v>
      </c>
      <c r="G269" s="707"/>
      <c r="H269" s="266">
        <v>105</v>
      </c>
      <c r="I269" s="261">
        <v>11.13</v>
      </c>
      <c r="J269" s="261">
        <v>0</v>
      </c>
      <c r="K269" s="261">
        <f t="shared" si="59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60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9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60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9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60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9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60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9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60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9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60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9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60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9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60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9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60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9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60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9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60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9"/>
        <v>19519.57</v>
      </c>
      <c r="L280" s="260"/>
      <c r="M280" s="260"/>
    </row>
    <row r="281" spans="1:13" x14ac:dyDescent="0.25">
      <c r="A281" s="260"/>
      <c r="B281" s="710">
        <v>42317</v>
      </c>
      <c r="C281" s="260">
        <v>190</v>
      </c>
      <c r="D281" s="261">
        <v>17.100000000000001</v>
      </c>
      <c r="E281" s="261">
        <v>0</v>
      </c>
      <c r="F281" s="261">
        <f t="shared" si="60"/>
        <v>3249.0000000000005</v>
      </c>
      <c r="G281" s="707">
        <v>42510</v>
      </c>
      <c r="H281" s="266">
        <v>240</v>
      </c>
      <c r="I281" s="261">
        <v>10.75</v>
      </c>
      <c r="J281" s="261">
        <v>0.12</v>
      </c>
      <c r="K281" s="261">
        <f t="shared" si="59"/>
        <v>2579.88</v>
      </c>
      <c r="L281" s="260"/>
      <c r="M281" s="260"/>
    </row>
    <row r="282" spans="1:13" x14ac:dyDescent="0.25">
      <c r="A282" s="260"/>
      <c r="B282" s="710"/>
      <c r="C282" s="260">
        <v>2</v>
      </c>
      <c r="D282" s="261">
        <v>17.100000000000001</v>
      </c>
      <c r="E282" s="261">
        <v>0</v>
      </c>
      <c r="F282" s="261">
        <f t="shared" si="60"/>
        <v>34.200000000000003</v>
      </c>
      <c r="G282" s="707"/>
      <c r="H282" s="266">
        <v>260</v>
      </c>
      <c r="I282" s="261">
        <v>10.75</v>
      </c>
      <c r="J282" s="261">
        <v>0</v>
      </c>
      <c r="K282" s="261">
        <f t="shared" si="59"/>
        <v>2795</v>
      </c>
      <c r="L282" s="260"/>
      <c r="M282" s="260"/>
    </row>
    <row r="283" spans="1:13" x14ac:dyDescent="0.25">
      <c r="A283" s="260"/>
      <c r="B283" s="710">
        <v>42318</v>
      </c>
      <c r="C283" s="260">
        <v>8</v>
      </c>
      <c r="D283" s="261">
        <v>16.989999999999998</v>
      </c>
      <c r="E283" s="261">
        <v>0</v>
      </c>
      <c r="F283" s="261">
        <f t="shared" si="60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9"/>
        <v>5684.88</v>
      </c>
      <c r="L283" s="260"/>
      <c r="M283" s="260"/>
    </row>
    <row r="284" spans="1:13" x14ac:dyDescent="0.25">
      <c r="A284" s="260"/>
      <c r="B284" s="710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9"/>
        <v>5769.87</v>
      </c>
      <c r="L284" s="260"/>
      <c r="M284" s="260"/>
    </row>
    <row r="285" spans="1:13" x14ac:dyDescent="0.25">
      <c r="A285" s="260"/>
      <c r="B285" s="710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9"/>
        <v>5879.87</v>
      </c>
      <c r="L285" s="260"/>
      <c r="M285" s="260"/>
    </row>
    <row r="286" spans="1:13" x14ac:dyDescent="0.25">
      <c r="A286" s="260"/>
      <c r="B286" s="710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9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61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9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61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9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61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9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61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9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61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61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61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61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61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61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61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61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61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61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61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61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61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61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61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61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61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61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61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61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61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61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61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61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61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61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61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61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61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61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61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11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61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11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61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11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61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61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61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61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61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61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61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61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61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61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61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61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61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61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61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61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61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62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61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62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61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62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61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62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61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62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61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62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61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62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61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61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61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61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63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64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63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64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63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64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63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64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63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64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63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64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63"/>
        <v>7224.84</v>
      </c>
      <c r="L356" s="260"/>
      <c r="M356" s="706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64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63"/>
        <v>7439.84</v>
      </c>
      <c r="L357" s="260"/>
      <c r="M357" s="706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64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63"/>
        <v>7489.84</v>
      </c>
      <c r="L358" s="260"/>
      <c r="M358" s="706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64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63"/>
        <v>7739.83</v>
      </c>
      <c r="L359" s="260"/>
      <c r="M359" s="706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64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63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64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63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64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63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64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63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64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63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64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63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64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63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64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63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64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63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64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63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64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63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64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63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64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63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64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63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64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63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64"/>
        <v>0</v>
      </c>
      <c r="G375" s="709" t="s">
        <v>326</v>
      </c>
      <c r="H375" s="260">
        <v>100</v>
      </c>
      <c r="I375" s="261">
        <v>19.68</v>
      </c>
      <c r="J375" s="261">
        <v>0.04</v>
      </c>
      <c r="K375" s="261">
        <f t="shared" si="63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64"/>
        <v>0</v>
      </c>
      <c r="G376" s="709"/>
      <c r="H376" s="260">
        <v>200</v>
      </c>
      <c r="I376" s="261">
        <v>19.88</v>
      </c>
      <c r="J376" s="261">
        <v>0.09</v>
      </c>
      <c r="K376" s="261">
        <f t="shared" si="63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64"/>
        <v>0</v>
      </c>
      <c r="G377" s="709"/>
      <c r="H377" s="260">
        <v>200</v>
      </c>
      <c r="I377" s="261">
        <v>20.32</v>
      </c>
      <c r="J377" s="261">
        <v>0.09</v>
      </c>
      <c r="K377" s="261">
        <f t="shared" si="63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64"/>
        <v>0</v>
      </c>
      <c r="G378" s="709"/>
      <c r="H378" s="260">
        <v>300</v>
      </c>
      <c r="I378" s="261">
        <v>20.53</v>
      </c>
      <c r="J378" s="261">
        <v>0.13</v>
      </c>
      <c r="K378" s="261">
        <f t="shared" si="63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63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63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63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63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65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65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65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65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65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65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6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6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6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6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6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O44:P44"/>
    <mergeCell ref="G13:G14"/>
  </mergeCells>
  <conditionalFormatting sqref="P16:P28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87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99" priority="85">
      <formula>F70&gt;0</formula>
    </cfRule>
    <cfRule type="expression" dxfId="698" priority="86">
      <formula>F70&lt;0</formula>
    </cfRule>
  </conditionalFormatting>
  <conditionalFormatting sqref="H70:H81">
    <cfRule type="expression" dxfId="697" priority="77">
      <formula>H70&gt;0</formula>
    </cfRule>
    <cfRule type="expression" dxfId="696" priority="78">
      <formula>H70&lt;0</formula>
    </cfRule>
  </conditionalFormatting>
  <conditionalFormatting sqref="H82">
    <cfRule type="expression" dxfId="695" priority="67">
      <formula>H82&gt;0</formula>
    </cfRule>
    <cfRule type="expression" dxfId="694" priority="68">
      <formula>H82&lt;0</formula>
    </cfRule>
  </conditionalFormatting>
  <conditionalFormatting sqref="H83">
    <cfRule type="expression" dxfId="693" priority="63">
      <formula>H83&gt;0</formula>
    </cfRule>
    <cfRule type="expression" dxfId="692" priority="64">
      <formula>H83&lt;0</formula>
    </cfRule>
  </conditionalFormatting>
  <conditionalFormatting sqref="H84:H89">
    <cfRule type="expression" dxfId="691" priority="59">
      <formula>H84&gt;0</formula>
    </cfRule>
    <cfRule type="expression" dxfId="690" priority="60">
      <formula>H84&lt;0</formula>
    </cfRule>
  </conditionalFormatting>
  <conditionalFormatting sqref="Q8">
    <cfRule type="expression" dxfId="689" priority="43">
      <formula>Q8&gt;0</formula>
    </cfRule>
    <cfRule type="expression" dxfId="688" priority="44">
      <formula>Q8&lt;0</formula>
    </cfRule>
  </conditionalFormatting>
  <conditionalFormatting sqref="Q7">
    <cfRule type="expression" dxfId="687" priority="45">
      <formula>Q7&gt;0</formula>
    </cfRule>
    <cfRule type="expression" dxfId="686" priority="46">
      <formula>Q7&lt;0</formula>
    </cfRule>
  </conditionalFormatting>
  <conditionalFormatting sqref="F201 H201">
    <cfRule type="expression" dxfId="685" priority="41">
      <formula>F201&gt;0</formula>
    </cfRule>
    <cfRule type="expression" dxfId="684" priority="42">
      <formula>F201&lt;0</formula>
    </cfRule>
  </conditionalFormatting>
  <conditionalFormatting sqref="F30:F61">
    <cfRule type="expression" dxfId="683" priority="39">
      <formula>F30&gt;0</formula>
    </cfRule>
    <cfRule type="expression" dxfId="682" priority="40">
      <formula>F30&lt;0</formula>
    </cfRule>
  </conditionalFormatting>
  <conditionalFormatting sqref="H30:H61">
    <cfRule type="expression" dxfId="681" priority="37">
      <formula>H30&gt;0</formula>
    </cfRule>
    <cfRule type="expression" dxfId="680" priority="38">
      <formula>H30&lt;0</formula>
    </cfRule>
  </conditionalFormatting>
  <conditionalFormatting sqref="Q10">
    <cfRule type="expression" dxfId="679" priority="35">
      <formula>Q10&gt;0</formula>
    </cfRule>
    <cfRule type="expression" dxfId="678" priority="36">
      <formula>Q10&lt;0</formula>
    </cfRule>
  </conditionalFormatting>
  <conditionalFormatting sqref="J37">
    <cfRule type="expression" dxfId="677" priority="33">
      <formula>J37&gt;0</formula>
    </cfRule>
    <cfRule type="expression" dxfId="676" priority="34">
      <formula>J37&lt;0</formula>
    </cfRule>
  </conditionalFormatting>
  <conditionalFormatting sqref="J43:J44">
    <cfRule type="expression" dxfId="675" priority="31">
      <formula>J43&gt;0</formula>
    </cfRule>
    <cfRule type="expression" dxfId="674" priority="32">
      <formula>J43&lt;0</formula>
    </cfRule>
  </conditionalFormatting>
  <conditionalFormatting sqref="Q9">
    <cfRule type="expression" dxfId="673" priority="29">
      <formula>Q9&gt;0</formula>
    </cfRule>
    <cfRule type="expression" dxfId="672" priority="30">
      <formula>Q9&lt;0</formula>
    </cfRule>
  </conditionalFormatting>
  <conditionalFormatting sqref="J45">
    <cfRule type="expression" dxfId="671" priority="27">
      <formula>J45&gt;0</formula>
    </cfRule>
    <cfRule type="expression" dxfId="670" priority="28">
      <formula>J45&lt;0</formula>
    </cfRule>
  </conditionalFormatting>
  <conditionalFormatting sqref="J46:J48 J50:J53">
    <cfRule type="expression" dxfId="669" priority="25">
      <formula>J46&gt;0</formula>
    </cfRule>
    <cfRule type="expression" dxfId="668" priority="26">
      <formula>J46&lt;0</formula>
    </cfRule>
  </conditionalFormatting>
  <conditionalFormatting sqref="K37">
    <cfRule type="expression" dxfId="667" priority="23">
      <formula>K37&gt;0</formula>
    </cfRule>
    <cfRule type="expression" dxfId="666" priority="24">
      <formula>K37&lt;0</formula>
    </cfRule>
  </conditionalFormatting>
  <conditionalFormatting sqref="K43:K44">
    <cfRule type="expression" dxfId="665" priority="21">
      <formula>K43&gt;0</formula>
    </cfRule>
    <cfRule type="expression" dxfId="664" priority="22">
      <formula>K43&lt;0</formula>
    </cfRule>
  </conditionalFormatting>
  <conditionalFormatting sqref="K45">
    <cfRule type="expression" dxfId="663" priority="19">
      <formula>K45&gt;0</formula>
    </cfRule>
    <cfRule type="expression" dxfId="662" priority="20">
      <formula>K45&lt;0</formula>
    </cfRule>
  </conditionalFormatting>
  <conditionalFormatting sqref="K46:K53">
    <cfRule type="expression" dxfId="661" priority="17">
      <formula>K46&gt;0</formula>
    </cfRule>
    <cfRule type="expression" dxfId="660" priority="18">
      <formula>K46&lt;0</formula>
    </cfRule>
  </conditionalFormatting>
  <conditionalFormatting sqref="L37">
    <cfRule type="expression" dxfId="659" priority="15">
      <formula>L37&gt;0</formula>
    </cfRule>
    <cfRule type="expression" dxfId="658" priority="16">
      <formula>L37&lt;0</formula>
    </cfRule>
  </conditionalFormatting>
  <conditionalFormatting sqref="L43:L44">
    <cfRule type="expression" dxfId="657" priority="13">
      <formula>L43&gt;0</formula>
    </cfRule>
    <cfRule type="expression" dxfId="656" priority="14">
      <formula>L43&lt;0</formula>
    </cfRule>
  </conditionalFormatting>
  <conditionalFormatting sqref="L45">
    <cfRule type="expression" dxfId="655" priority="11">
      <formula>L45&gt;0</formula>
    </cfRule>
    <cfRule type="expression" dxfId="654" priority="12">
      <formula>L45&lt;0</formula>
    </cfRule>
  </conditionalFormatting>
  <conditionalFormatting sqref="L46:L53">
    <cfRule type="expression" dxfId="653" priority="9">
      <formula>L46&gt;0</formula>
    </cfRule>
    <cfRule type="expression" dxfId="652" priority="10">
      <formula>L46&lt;0</formula>
    </cfRule>
  </conditionalFormatting>
  <conditionalFormatting sqref="K54">
    <cfRule type="expression" dxfId="651" priority="7">
      <formula>K54&gt;0</formula>
    </cfRule>
    <cfRule type="expression" dxfId="650" priority="8">
      <formula>K54&lt;0</formula>
    </cfRule>
  </conditionalFormatting>
  <conditionalFormatting sqref="L54:L55">
    <cfRule type="expression" dxfId="649" priority="5">
      <formula>L54&gt;0</formula>
    </cfRule>
    <cfRule type="expression" dxfId="648" priority="6">
      <formula>L54&lt;0</formula>
    </cfRule>
  </conditionalFormatting>
  <conditionalFormatting sqref="K55">
    <cfRule type="expression" dxfId="647" priority="3">
      <formula>K55&gt;0</formula>
    </cfRule>
    <cfRule type="expression" dxfId="646" priority="4">
      <formula>K55&lt;0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7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51.45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7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51.45</v>
      </c>
      <c r="R4" s="517">
        <v>1.9400000000000001E-2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7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7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7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7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7">
        <f t="shared" si="1"/>
        <v>1.3129102844638973E-2</v>
      </c>
    </row>
    <row r="9" spans="1:31" x14ac:dyDescent="0.25">
      <c r="O9" s="11" t="s">
        <v>213</v>
      </c>
      <c r="Q9" s="137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7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7">
        <f t="shared" si="1"/>
        <v>-9.7446891444162853E-3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7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7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7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7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7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7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7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7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7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7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7">
        <f t="shared" si="1"/>
        <v>-1.5715948777648481E-2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7">
        <f t="shared" si="1"/>
        <v>1.1655011655011815E-3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7">
        <f t="shared" si="1"/>
        <v>-1.6243072807185177E-2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7">
        <f t="shared" si="1"/>
        <v>-3.0925925925925912E-2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7">
        <f t="shared" si="1"/>
        <v>5.2122114668653463E-3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7">
        <f t="shared" si="1"/>
        <v>9.3161915408979112E-4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7">
        <f t="shared" si="1"/>
        <v>1.8406072106261773E-2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7">
        <f t="shared" si="1"/>
        <v>-3.5923615050104107E-3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7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7">
        <f t="shared" si="1"/>
        <v>7.6599004212944966E-3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7">
        <f t="shared" si="1"/>
        <v>3.6517393811261734E-3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7">
        <f t="shared" si="1"/>
        <v>-1.3836239575435894E-2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7">
        <f t="shared" si="1"/>
        <v>1.1697027804410398E-2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7">
        <f t="shared" si="1"/>
        <v>-2.3042337954290115E-2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7">
        <f t="shared" si="1"/>
        <v>1.1751326762699188E-2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7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7">
        <f t="shared" si="1"/>
        <v>3.7965072133636646E-3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7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7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56.595000000000006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7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56.080500000000008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7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55.56600000000001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7">
        <f t="shared" si="1"/>
        <v>1.0166177908113472E-2</v>
      </c>
    </row>
    <row r="44" spans="1:31" x14ac:dyDescent="0.25">
      <c r="O44" s="82">
        <v>1.07</v>
      </c>
      <c r="P44" s="82">
        <f t="shared" si="2"/>
        <v>55.051500000000004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7">
        <f t="shared" si="1"/>
        <v>-2.6641294005708804E-2</v>
      </c>
    </row>
    <row r="45" spans="1:31" x14ac:dyDescent="0.25">
      <c r="O45" s="82">
        <v>1.06</v>
      </c>
      <c r="P45" s="82">
        <f t="shared" si="2"/>
        <v>54.537000000000006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7">
        <f t="shared" si="1"/>
        <v>-6.2405446293495315E-3</v>
      </c>
    </row>
    <row r="46" spans="1:31" x14ac:dyDescent="0.25">
      <c r="O46" s="82">
        <v>1.05</v>
      </c>
      <c r="P46" s="82">
        <f t="shared" si="2"/>
        <v>54.022500000000008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7">
        <f t="shared" si="1"/>
        <v>-5.5882878057489704E-2</v>
      </c>
    </row>
    <row r="47" spans="1:31" x14ac:dyDescent="0.25">
      <c r="O47" s="82">
        <v>1.04</v>
      </c>
      <c r="P47" s="82">
        <f t="shared" si="2"/>
        <v>53.508000000000003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7">
        <f t="shared" si="1"/>
        <v>-1.6042780748664054E-3</v>
      </c>
    </row>
    <row r="48" spans="1:31" x14ac:dyDescent="0.25">
      <c r="O48" s="82">
        <v>1.03</v>
      </c>
      <c r="P48" s="82">
        <f t="shared" si="2"/>
        <v>52.993500000000004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7">
        <f t="shared" si="1"/>
        <v>-5.1427558077673519E-3</v>
      </c>
    </row>
    <row r="49" spans="15:31" x14ac:dyDescent="0.25">
      <c r="O49" s="82">
        <v>1.02</v>
      </c>
      <c r="P49" s="82">
        <f t="shared" si="2"/>
        <v>52.479000000000006</v>
      </c>
      <c r="Q49" s="2"/>
      <c r="T49" s="86" t="s">
        <v>104</v>
      </c>
      <c r="U49" s="88" t="s">
        <v>421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7">
        <f t="shared" si="1"/>
        <v>-7.9169598874032632E-3</v>
      </c>
    </row>
    <row r="50" spans="15:31" x14ac:dyDescent="0.25">
      <c r="O50" s="82">
        <v>1.01</v>
      </c>
      <c r="P50" s="82">
        <f t="shared" si="2"/>
        <v>51.964500000000001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7">
        <f t="shared" si="1"/>
        <v>-2.9819329942114559E-3</v>
      </c>
    </row>
    <row r="51" spans="15:31" x14ac:dyDescent="0.25">
      <c r="O51" s="82">
        <v>1</v>
      </c>
      <c r="P51" s="82">
        <f t="shared" si="2"/>
        <v>51.45</v>
      </c>
      <c r="Q51" s="2"/>
      <c r="T51" s="86" t="s">
        <v>105</v>
      </c>
      <c r="U51" s="87" t="s">
        <v>697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7">
        <f t="shared" si="1"/>
        <v>-8.1767571329157684E-3</v>
      </c>
    </row>
    <row r="52" spans="15:31" x14ac:dyDescent="0.25">
      <c r="O52" s="82">
        <v>0.99</v>
      </c>
      <c r="P52" s="82">
        <f t="shared" si="2"/>
        <v>50.935500000000005</v>
      </c>
      <c r="Q52" s="2"/>
      <c r="T52" s="86" t="s">
        <v>106</v>
      </c>
      <c r="U52" s="87" t="s">
        <v>553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7">
        <f t="shared" si="1"/>
        <v>3.7357877639415227E-2</v>
      </c>
    </row>
    <row r="53" spans="15:31" x14ac:dyDescent="0.25">
      <c r="O53" s="82">
        <v>0.98</v>
      </c>
      <c r="P53" s="82">
        <f t="shared" si="2"/>
        <v>50.420999999999999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7">
        <f t="shared" si="1"/>
        <v>2.9351662641649678E-2</v>
      </c>
    </row>
    <row r="54" spans="15:31" x14ac:dyDescent="0.25">
      <c r="O54" s="82">
        <v>0.97</v>
      </c>
      <c r="P54" s="82">
        <f t="shared" si="2"/>
        <v>49.906500000000001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7">
        <f t="shared" si="1"/>
        <v>1.1461856444945573E-2</v>
      </c>
    </row>
    <row r="55" spans="15:31" x14ac:dyDescent="0.25">
      <c r="O55" s="82">
        <v>0.96</v>
      </c>
      <c r="P55" s="82">
        <f t="shared" si="2"/>
        <v>49.392000000000003</v>
      </c>
      <c r="T55" s="86" t="s">
        <v>108</v>
      </c>
      <c r="U55" s="87" t="s">
        <v>698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7">
        <f t="shared" si="1"/>
        <v>1.9149751053236352E-2</v>
      </c>
    </row>
    <row r="56" spans="15:31" x14ac:dyDescent="0.25">
      <c r="O56" s="82">
        <v>0.95</v>
      </c>
      <c r="P56" s="82">
        <f t="shared" si="2"/>
        <v>48.877499999999998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7">
        <f t="shared" si="1"/>
        <v>-6.6577896138482195E-3</v>
      </c>
    </row>
    <row r="57" spans="15:31" x14ac:dyDescent="0.25">
      <c r="O57" s="82">
        <v>0.94</v>
      </c>
      <c r="P57" s="82">
        <f t="shared" si="2"/>
        <v>48.363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7">
        <f t="shared" si="1"/>
        <v>7.6146963639822651E-4</v>
      </c>
    </row>
    <row r="58" spans="15:31" x14ac:dyDescent="0.25">
      <c r="O58" s="82">
        <v>0.93</v>
      </c>
      <c r="P58" s="82">
        <f t="shared" si="2"/>
        <v>47.848500000000008</v>
      </c>
      <c r="T58" s="86" t="s">
        <v>109</v>
      </c>
      <c r="U58" s="87" t="s">
        <v>609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7">
        <f t="shared" si="1"/>
        <v>-1.0361718161265965E-2</v>
      </c>
    </row>
    <row r="59" spans="15:31" x14ac:dyDescent="0.25">
      <c r="O59" s="82">
        <v>0.92</v>
      </c>
      <c r="P59" s="82">
        <f t="shared" si="2"/>
        <v>47.334000000000003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7">
        <f t="shared" si="1"/>
        <v>-2.2556390977443996E-3</v>
      </c>
    </row>
    <row r="60" spans="15:31" x14ac:dyDescent="0.25">
      <c r="O60" s="82">
        <v>0.91</v>
      </c>
      <c r="P60" s="82">
        <f t="shared" si="2"/>
        <v>46.819500000000005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7">
        <f t="shared" si="1"/>
        <v>-8.7572200484441476E-3</v>
      </c>
    </row>
    <row r="61" spans="15:31" x14ac:dyDescent="0.25">
      <c r="O61" s="82">
        <v>0.9</v>
      </c>
      <c r="P61" s="82">
        <f t="shared" si="2"/>
        <v>46.305000000000007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7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7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7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7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7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7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7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45" priority="11">
      <formula>F27&gt;0</formula>
    </cfRule>
    <cfRule type="expression" dxfId="644" priority="12">
      <formula>F27&lt;0</formula>
    </cfRule>
  </conditionalFormatting>
  <conditionalFormatting sqref="H27:H29">
    <cfRule type="expression" dxfId="643" priority="9">
      <formula>H27&gt;0</formula>
    </cfRule>
    <cfRule type="expression" dxfId="642" priority="10">
      <formula>H27&lt;0</formula>
    </cfRule>
  </conditionalFormatting>
  <conditionalFormatting sqref="F23:F26">
    <cfRule type="expression" dxfId="641" priority="7">
      <formula>F23&gt;0</formula>
    </cfRule>
    <cfRule type="expression" dxfId="640" priority="8">
      <formula>F23&lt;0</formula>
    </cfRule>
  </conditionalFormatting>
  <conditionalFormatting sqref="H23:H26">
    <cfRule type="expression" dxfId="639" priority="5">
      <formula>H23&gt;0</formula>
    </cfRule>
    <cfRule type="expression" dxfId="638" priority="6">
      <formula>H23&lt;0</formula>
    </cfRule>
  </conditionalFormatting>
  <conditionalFormatting sqref="Q8">
    <cfRule type="expression" dxfId="637" priority="1">
      <formula>Q8&gt;0</formula>
    </cfRule>
    <cfRule type="expression" dxfId="636" priority="2">
      <formula>Q8&lt;0</formula>
    </cfRule>
  </conditionalFormatting>
  <conditionalFormatting sqref="Q7">
    <cfRule type="expression" dxfId="635" priority="3">
      <formula>Q7&gt;0</formula>
    </cfRule>
    <cfRule type="expression" dxfId="63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7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35.765000000000001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7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35.765000000000001</v>
      </c>
      <c r="R4" s="517">
        <v>8.0300000000000007E-3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7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7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7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7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7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7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7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7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7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7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7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7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7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7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7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7">
        <f t="shared" si="1"/>
        <v>-2.0885547201336729E-2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7">
        <f t="shared" si="1"/>
        <v>2.5125628140703071E-3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7">
        <f t="shared" si="1"/>
        <v>5.6148231330714893E-3</v>
      </c>
    </row>
    <row r="22" spans="1:31" x14ac:dyDescent="0.25">
      <c r="B22" s="192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7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7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7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7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7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7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7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7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7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7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7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7">
        <f t="shared" si="1"/>
        <v>1.0964912280704286E-3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7">
        <f t="shared" si="1"/>
        <v>1.9225487503433669E-3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7">
        <f t="shared" si="1"/>
        <v>9.986130374479929E-3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7">
        <f t="shared" si="1"/>
        <v>3.3398274422486995E-3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7">
        <f t="shared" si="1"/>
        <v>3.6312849162012384E-3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7">
        <f t="shared" si="1"/>
        <v>1.3016411997736066E-2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7">
        <f t="shared" si="1"/>
        <v>-3.3840947546530664E-3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7">
        <f t="shared" si="1"/>
        <v>-2.5288620120945571E-2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39.341500000000003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7">
        <f t="shared" si="1"/>
        <v>8.2530949105907858E-4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38.983850000000004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7">
        <f t="shared" si="1"/>
        <v>2.2056796250344846E-3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38.626200000000004</v>
      </c>
      <c r="Q43" s="2"/>
      <c r="T43" s="96" t="s">
        <v>98</v>
      </c>
      <c r="U43" s="97">
        <v>36.28</v>
      </c>
      <c r="V43" s="409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7">
        <f t="shared" si="1"/>
        <v>-6.8455640744797819E-3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38.268550000000005</v>
      </c>
      <c r="Q44" s="2"/>
      <c r="T44" s="86" t="s">
        <v>99</v>
      </c>
      <c r="U44" s="87">
        <v>36.43</v>
      </c>
      <c r="V44" s="410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7" t="e">
        <f t="shared" si="1"/>
        <v>#DIV/0!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37.910900000000005</v>
      </c>
      <c r="Q45" s="2"/>
      <c r="T45" s="86" t="s">
        <v>100</v>
      </c>
      <c r="U45" s="87" t="s">
        <v>699</v>
      </c>
      <c r="V45" s="410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7">
        <f t="shared" si="1"/>
        <v>-1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37.553250000000006</v>
      </c>
      <c r="Q46" s="2"/>
      <c r="T46" s="86" t="s">
        <v>101</v>
      </c>
      <c r="U46" s="87" t="s">
        <v>700</v>
      </c>
      <c r="V46" s="410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7">
        <f t="shared" si="1"/>
        <v>4.4125758411472926E-3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37.195599999999999</v>
      </c>
      <c r="Q47" s="2"/>
      <c r="T47" s="86" t="s">
        <v>102</v>
      </c>
      <c r="U47" s="87">
        <v>40.03</v>
      </c>
      <c r="V47" s="410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7">
        <f t="shared" si="1"/>
        <v>-8.2056892778994417E-3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36.837949999999999</v>
      </c>
      <c r="Q48" s="2"/>
      <c r="T48" s="86" t="s">
        <v>103</v>
      </c>
      <c r="U48" s="87">
        <v>1.1121399999999999</v>
      </c>
      <c r="V48" s="410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7">
        <f t="shared" si="1"/>
        <v>-1.5881561238223374E-2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36.4803</v>
      </c>
      <c r="Q49" s="2"/>
      <c r="T49" s="86" t="s">
        <v>104</v>
      </c>
      <c r="U49" s="88" t="s">
        <v>454</v>
      </c>
      <c r="V49" s="411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7">
        <f t="shared" si="1"/>
        <v>-1.4850172368072179E-2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36.12265</v>
      </c>
      <c r="Q50" s="2"/>
      <c r="T50" s="86"/>
      <c r="U50" s="87"/>
      <c r="V50" s="410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7">
        <f t="shared" si="1"/>
        <v>1.1263073209975882E-2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35.765000000000001</v>
      </c>
      <c r="Q51" s="2"/>
      <c r="T51" s="86" t="s">
        <v>105</v>
      </c>
      <c r="U51" s="87" t="s">
        <v>701</v>
      </c>
      <c r="V51" s="410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7">
        <f t="shared" si="1"/>
        <v>-6.3948840927259276E-3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35.407350000000001</v>
      </c>
      <c r="Q52" s="2"/>
      <c r="T52" s="86" t="s">
        <v>106</v>
      </c>
      <c r="U52" s="87" t="s">
        <v>565</v>
      </c>
      <c r="V52" s="410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7">
        <f t="shared" si="1"/>
        <v>4.8192771084336616E-3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35.049700000000001</v>
      </c>
      <c r="Q53" s="2"/>
      <c r="T53" s="86" t="s">
        <v>107</v>
      </c>
      <c r="U53" s="89">
        <v>22455525</v>
      </c>
      <c r="V53" s="412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7">
        <f t="shared" si="1"/>
        <v>2.3007395234182493E-2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34.692050000000002</v>
      </c>
      <c r="T54" s="86" t="s">
        <v>110</v>
      </c>
      <c r="U54" s="89">
        <v>24240000</v>
      </c>
      <c r="V54" s="412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7">
        <f t="shared" si="1"/>
        <v>-4.6346782988004875E-3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34.334400000000002</v>
      </c>
      <c r="T55" s="86" t="s">
        <v>108</v>
      </c>
      <c r="U55" s="87" t="s">
        <v>702</v>
      </c>
      <c r="V55" s="410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7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33.976749999999996</v>
      </c>
      <c r="T56" s="86" t="s">
        <v>111</v>
      </c>
      <c r="U56" s="87">
        <v>17.079999999999998</v>
      </c>
      <c r="V56" s="410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7">
        <f t="shared" si="1"/>
        <v>-5.2054794520547398E-3</v>
      </c>
    </row>
    <row r="57" spans="1:31" x14ac:dyDescent="0.25">
      <c r="O57" s="82">
        <v>0.94</v>
      </c>
      <c r="P57" s="82">
        <f t="shared" si="4"/>
        <v>33.619099999999996</v>
      </c>
      <c r="T57" s="86" t="s">
        <v>112</v>
      </c>
      <c r="U57" s="87">
        <v>2.12</v>
      </c>
      <c r="V57" s="410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7">
        <f t="shared" si="1"/>
        <v>-1.0946907498631253E-3</v>
      </c>
    </row>
    <row r="58" spans="1:31" x14ac:dyDescent="0.25">
      <c r="O58" s="82">
        <v>0.93</v>
      </c>
      <c r="P58" s="82">
        <f t="shared" si="4"/>
        <v>33.261450000000004</v>
      </c>
      <c r="T58" s="86" t="s">
        <v>109</v>
      </c>
      <c r="U58" s="87" t="s">
        <v>610</v>
      </c>
      <c r="V58" s="410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7">
        <f t="shared" si="1"/>
        <v>2.7374760470832982E-4</v>
      </c>
    </row>
    <row r="59" spans="1:31" x14ac:dyDescent="0.25">
      <c r="O59" s="82">
        <v>0.92</v>
      </c>
      <c r="P59" s="82">
        <f t="shared" si="4"/>
        <v>32.903800000000004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7">
        <f t="shared" si="1"/>
        <v>2.1947873799725848E-3</v>
      </c>
    </row>
    <row r="60" spans="1:31" x14ac:dyDescent="0.25">
      <c r="O60" s="82">
        <v>0.91</v>
      </c>
      <c r="P60" s="82">
        <f t="shared" si="4"/>
        <v>32.546150000000004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7">
        <f t="shared" si="1"/>
        <v>-6.5412919051511809E-3</v>
      </c>
    </row>
    <row r="61" spans="1:31" x14ac:dyDescent="0.25">
      <c r="O61" s="82">
        <v>0.9</v>
      </c>
      <c r="P61" s="82">
        <f t="shared" si="4"/>
        <v>32.188500000000005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7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7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7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7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7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7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7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33" priority="7">
      <formula>F21&gt;0</formula>
    </cfRule>
    <cfRule type="expression" dxfId="632" priority="8">
      <formula>F21&lt;0</formula>
    </cfRule>
  </conditionalFormatting>
  <conditionalFormatting sqref="F22">
    <cfRule type="expression" dxfId="631" priority="5">
      <formula>F22&gt;0</formula>
    </cfRule>
    <cfRule type="expression" dxfId="630" priority="6">
      <formula>F22&lt;0</formula>
    </cfRule>
  </conditionalFormatting>
  <conditionalFormatting sqref="Q8">
    <cfRule type="expression" dxfId="629" priority="1">
      <formula>Q8&gt;0</formula>
    </cfRule>
    <cfRule type="expression" dxfId="628" priority="2">
      <formula>Q8&lt;0</formula>
    </cfRule>
  </conditionalFormatting>
  <conditionalFormatting sqref="Q7">
    <cfRule type="expression" dxfId="627" priority="3">
      <formula>Q7&gt;0</formula>
    </cfRule>
    <cfRule type="expression" dxfId="6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7">
        <f>AC2/AC3-1</f>
        <v>-9.0260285474391688E-3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48.19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7">
        <f t="shared" ref="AE3:AE66" si="1">AC3/AC4-1</f>
        <v>1.426442410048967E-2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48.19</v>
      </c>
      <c r="R4" s="499">
        <v>-2.47E-2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7">
        <f t="shared" si="1"/>
        <v>-2.5720804812279674E-2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7">
        <f t="shared" si="1"/>
        <v>-1.5720702327480574E-2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7">
        <f t="shared" si="1"/>
        <v>-1.5675241157556252E-2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7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7">
        <f t="shared" si="1"/>
        <v>3.6252456868312022E-2</v>
      </c>
    </row>
    <row r="9" spans="1:40" x14ac:dyDescent="0.25">
      <c r="O9" s="11" t="s">
        <v>213</v>
      </c>
      <c r="Q9" s="137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7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7">
        <f t="shared" si="1"/>
        <v>-9.4542329179200246E-3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7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7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7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7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7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7">
        <f t="shared" si="1"/>
        <v>-1.1393692777212472E-2</v>
      </c>
    </row>
    <row r="17" spans="1:31" x14ac:dyDescent="0.25">
      <c r="C17" s="4"/>
      <c r="D17" s="239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7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7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7">
        <f t="shared" si="1"/>
        <v>-1.9742310889443004E-2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7">
        <f t="shared" si="1"/>
        <v>1.0499790004199872E-2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7">
        <f t="shared" si="1"/>
        <v>-3.3096446700507709E-2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7">
        <f t="shared" si="1"/>
        <v>-2.9747832939322261E-2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7">
        <f t="shared" si="1"/>
        <v>0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7">
        <f t="shared" si="1"/>
        <v>-1.4177510196154652E-2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7">
        <f t="shared" si="1"/>
        <v>1.9459038723488309E-3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7">
        <f t="shared" si="1"/>
        <v>4.2993941762752286E-3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7">
        <f t="shared" si="1"/>
        <v>-2.3659606945239386E-2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7">
        <f t="shared" si="1"/>
        <v>3.8306837770540891E-3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42790</v>
      </c>
      <c r="X31" s="196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7">
        <f t="shared" si="1"/>
        <v>-5.7427258805520243E-4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7">
        <f t="shared" si="1"/>
        <v>1.8522129069994175E-2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7">
        <f t="shared" si="1"/>
        <v>-2.3791397030833661E-2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7">
        <f t="shared" si="1"/>
        <v>2.0590520590520578E-2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7">
        <f t="shared" si="1"/>
        <v>8.818342151675429E-3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7">
        <f t="shared" si="1"/>
        <v>4.923198109491933E-3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7">
        <f t="shared" si="1"/>
        <v>-1.8364585346993922E-2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7">
        <f t="shared" si="1"/>
        <v>2.325130788606744E-3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7">
        <f t="shared" si="1"/>
        <v>-1.1870572467930218E-2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7">
        <f t="shared" si="1"/>
        <v>3.6510376633358543E-3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7">
        <f t="shared" si="1"/>
        <v>1.5018529354398291E-2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7">
        <f t="shared" si="1"/>
        <v>5.8548009367687115E-4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7">
        <f t="shared" si="1"/>
        <v>-3.1013615733736732E-2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7">
        <f t="shared" si="1"/>
        <v>-2.110329507589781E-2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53.009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7">
        <f t="shared" si="1"/>
        <v>6.3338301043218692E-3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52.527100000000004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7">
        <f t="shared" si="1"/>
        <v>8.4538793913206955E-3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52.045200000000001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7">
        <f t="shared" si="1"/>
        <v>-1.2247170161440057E-2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51.563299999999998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7">
        <f t="shared" si="1"/>
        <v>4.2862467387254632E-3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51.081400000000002</v>
      </c>
      <c r="Q49" s="2"/>
      <c r="R49" s="34"/>
      <c r="T49" s="107" t="s">
        <v>122</v>
      </c>
      <c r="U49" s="105" t="s">
        <v>399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7">
        <f t="shared" si="1"/>
        <v>-1.6855991205569798E-2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50.599499999999999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7">
        <f t="shared" si="1"/>
        <v>-2.3089314480042922E-2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50.117599999999996</v>
      </c>
      <c r="Q51" s="2"/>
      <c r="R51" s="34"/>
      <c r="T51" s="107" t="s">
        <v>105</v>
      </c>
      <c r="U51" s="105" t="s">
        <v>703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7">
        <f t="shared" si="1"/>
        <v>-5.1638176638176825E-3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49.6357</v>
      </c>
      <c r="Q52" s="2"/>
      <c r="R52" s="34"/>
      <c r="T52" s="107" t="s">
        <v>106</v>
      </c>
      <c r="U52" s="105" t="s">
        <v>584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7">
        <f t="shared" si="1"/>
        <v>-1.8524991261796631E-2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49.153799999999997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7">
        <f t="shared" si="1"/>
        <v>6.5083553210201206E-3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48.671900000000001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7">
        <f t="shared" si="1"/>
        <v>-1.4218831281428868E-2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48.19</v>
      </c>
      <c r="Q55" s="2"/>
      <c r="R55" s="34"/>
      <c r="T55" s="107" t="s">
        <v>108</v>
      </c>
      <c r="U55" s="105" t="s">
        <v>704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7">
        <f t="shared" si="1"/>
        <v>4.3538836642285084E-3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47.708099999999995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7">
        <f t="shared" si="1"/>
        <v>-1.8796992481203034E-2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47.226199999999999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7">
        <f t="shared" si="1"/>
        <v>-7.9674521105271845E-3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46.744299999999996</v>
      </c>
      <c r="Q58" s="2"/>
      <c r="R58" s="34"/>
      <c r="T58" s="107" t="s">
        <v>109</v>
      </c>
      <c r="U58" s="105" t="s">
        <v>611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7">
        <f t="shared" si="1"/>
        <v>6.9989757596449209E-3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46.2624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7">
        <f t="shared" si="1"/>
        <v>6.8329347454731959E-4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45.780499999999996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7">
        <f t="shared" si="1"/>
        <v>-4.8284831734677236E-2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45.298599999999993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7">
        <f t="shared" si="1"/>
        <v>6.2162604285946887E-3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44.816699999999997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7">
        <f t="shared" si="1"/>
        <v>1.3932658815724031E-2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44.334800000000001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7">
        <f t="shared" si="1"/>
        <v>-2.0789345460451525E-2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43.852899999999998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7">
        <f t="shared" si="1"/>
        <v>-3.2378177108629558E-3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43.371000000000002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7">
        <f t="shared" si="1"/>
        <v>2.7597402597403509E-3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7">
        <f t="shared" si="1"/>
        <v>-1.4242278764602379E-2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7">
        <f>AC67/AC68-1</f>
        <v>8.5539057456422984E-3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25" priority="17">
      <formula>F38&gt;0</formula>
    </cfRule>
    <cfRule type="expression" dxfId="624" priority="18">
      <formula>F38&lt;0</formula>
    </cfRule>
  </conditionalFormatting>
  <conditionalFormatting sqref="H38:H72">
    <cfRule type="expression" dxfId="623" priority="9">
      <formula>H38&gt;0</formula>
    </cfRule>
    <cfRule type="expression" dxfId="622" priority="10">
      <formula>H38&lt;0</formula>
    </cfRule>
  </conditionalFormatting>
  <conditionalFormatting sqref="F21:F37">
    <cfRule type="expression" dxfId="621" priority="7">
      <formula>F21&gt;0</formula>
    </cfRule>
    <cfRule type="expression" dxfId="620" priority="8">
      <formula>F21&lt;0</formula>
    </cfRule>
  </conditionalFormatting>
  <conditionalFormatting sqref="H21:H37">
    <cfRule type="expression" dxfId="619" priority="5">
      <formula>H21&gt;0</formula>
    </cfRule>
    <cfRule type="expression" dxfId="618" priority="6">
      <formula>H21&lt;0</formula>
    </cfRule>
  </conditionalFormatting>
  <conditionalFormatting sqref="Q8">
    <cfRule type="expression" dxfId="617" priority="1">
      <formula>Q8&gt;0</formula>
    </cfRule>
    <cfRule type="expression" dxfId="616" priority="2">
      <formula>Q8&lt;0</formula>
    </cfRule>
  </conditionalFormatting>
  <conditionalFormatting sqref="Q7">
    <cfRule type="expression" dxfId="615" priority="3">
      <formula>Q7&gt;0</formula>
    </cfRule>
    <cfRule type="expression" dxfId="61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7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106.24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7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106.24</v>
      </c>
      <c r="R4" s="517">
        <v>2.5000000000000001E-3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7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7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7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7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7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7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7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7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7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7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7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7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7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7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7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7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7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7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7">
        <f t="shared" si="1"/>
        <v>-1.522702104097462E-2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7">
        <f t="shared" si="1"/>
        <v>-9.7779402357671685E-3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7">
        <f t="shared" si="1"/>
        <v>3.7607778389288082E-3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7">
        <f t="shared" si="1"/>
        <v>-2.7510316368639653E-4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7">
        <f t="shared" si="1"/>
        <v>-9.6267368994641389E-3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7">
        <f t="shared" si="1"/>
        <v>2.0103761348897464E-2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7">
        <f t="shared" si="1"/>
        <v>4.0930232558138435E-3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7">
        <f t="shared" si="1"/>
        <v>-2.2275849266752967E-3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7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7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7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7">
        <f t="shared" si="1"/>
        <v>-1.3736263736264798E-3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7">
        <f t="shared" si="1"/>
        <v>3.9532959455732541E-3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7">
        <f t="shared" si="1"/>
        <v>-3.5727372663979517E-3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7">
        <f t="shared" si="1"/>
        <v>5.7121798415329383E-3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7">
        <f t="shared" si="1"/>
        <v>7.7058768916535847E-3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7">
        <f t="shared" si="1"/>
        <v>4.1954130151033997E-3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7">
        <f t="shared" si="1"/>
        <v>4.2130886621103425E-3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7">
        <f t="shared" si="1"/>
        <v>7.4955495174733322E-4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7">
        <f t="shared" si="1"/>
        <v>-2.8961136023916145E-3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7">
        <f t="shared" si="1"/>
        <v>-3.7355248412396236E-4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7">
        <f t="shared" si="1"/>
        <v>-7.5076466771711869E-3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7">
        <f t="shared" si="1"/>
        <v>1.1247539600712342E-2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7">
        <f t="shared" si="1"/>
        <v>-3.735176020170039E-3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116.864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7">
        <f t="shared" si="1"/>
        <v>1.0473674278165701E-2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115.80160000000001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7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114.7392</v>
      </c>
      <c r="Q49" s="34"/>
      <c r="R49"/>
      <c r="T49" s="86" t="s">
        <v>104</v>
      </c>
      <c r="U49" s="93" t="s">
        <v>705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7">
        <f t="shared" si="1"/>
        <v>-1.0959661079388394E-2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113.6768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7">
        <f t="shared" si="1"/>
        <v>-8.6734228065370456E-3</v>
      </c>
    </row>
    <row r="51" spans="1:31" x14ac:dyDescent="0.25">
      <c r="O51" s="82">
        <v>1.06</v>
      </c>
      <c r="P51" s="82">
        <f t="shared" si="3"/>
        <v>112.6144</v>
      </c>
      <c r="Q51" s="82"/>
      <c r="R51"/>
      <c r="T51" s="86" t="s">
        <v>105</v>
      </c>
      <c r="U51" s="129" t="s">
        <v>706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7">
        <f t="shared" si="1"/>
        <v>-2.3681573913836296E-3</v>
      </c>
    </row>
    <row r="52" spans="1:31" x14ac:dyDescent="0.25">
      <c r="O52" s="82">
        <v>1.05</v>
      </c>
      <c r="P52" s="82">
        <f t="shared" si="3"/>
        <v>111.55199999999999</v>
      </c>
      <c r="Q52" s="82"/>
      <c r="R52"/>
      <c r="T52" s="86" t="s">
        <v>106</v>
      </c>
      <c r="U52" s="129" t="s">
        <v>556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7">
        <f t="shared" si="1"/>
        <v>1.5633672525439568E-2</v>
      </c>
    </row>
    <row r="53" spans="1:31" x14ac:dyDescent="0.25">
      <c r="O53" s="82">
        <v>1.04</v>
      </c>
      <c r="P53" s="82">
        <f t="shared" si="3"/>
        <v>110.4896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7">
        <f t="shared" si="1"/>
        <v>6.705159247532011E-3</v>
      </c>
    </row>
    <row r="54" spans="1:31" x14ac:dyDescent="0.25">
      <c r="O54" s="82">
        <v>1.03</v>
      </c>
      <c r="P54" s="82">
        <f t="shared" si="3"/>
        <v>109.4272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7">
        <f t="shared" si="1"/>
        <v>-5.5565845526950319E-3</v>
      </c>
    </row>
    <row r="55" spans="1:31" x14ac:dyDescent="0.25">
      <c r="O55" s="82">
        <v>1.02</v>
      </c>
      <c r="P55" s="82">
        <f t="shared" si="3"/>
        <v>108.3648</v>
      </c>
      <c r="Q55" s="82"/>
      <c r="R55"/>
      <c r="T55" s="86" t="s">
        <v>108</v>
      </c>
      <c r="U55" s="129" t="s">
        <v>707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7">
        <f t="shared" si="1"/>
        <v>2.2150700492237885E-2</v>
      </c>
    </row>
    <row r="56" spans="1:31" x14ac:dyDescent="0.25">
      <c r="O56" s="82">
        <v>1.01</v>
      </c>
      <c r="P56" s="82">
        <f t="shared" si="3"/>
        <v>107.30239999999999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7">
        <f t="shared" si="1"/>
        <v>2.384182981197891E-2</v>
      </c>
    </row>
    <row r="57" spans="1:31" x14ac:dyDescent="0.25">
      <c r="O57" s="82">
        <v>1</v>
      </c>
      <c r="P57" s="82">
        <f t="shared" si="3"/>
        <v>106.24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7">
        <f t="shared" si="1"/>
        <v>3.8918077446974397E-3</v>
      </c>
    </row>
    <row r="58" spans="1:31" x14ac:dyDescent="0.25">
      <c r="O58" s="82">
        <v>0.99</v>
      </c>
      <c r="P58" s="82">
        <f t="shared" si="3"/>
        <v>105.1776</v>
      </c>
      <c r="Q58" s="82"/>
      <c r="R58"/>
      <c r="T58" s="86" t="s">
        <v>109</v>
      </c>
      <c r="U58" s="129" t="s">
        <v>612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7">
        <f t="shared" si="1"/>
        <v>-1.786908743430482E-2</v>
      </c>
    </row>
    <row r="59" spans="1:31" x14ac:dyDescent="0.25">
      <c r="O59" s="82">
        <v>0.98</v>
      </c>
      <c r="P59" s="82">
        <f t="shared" si="3"/>
        <v>104.11519999999999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7">
        <f t="shared" si="1"/>
        <v>5.1868216309673976E-3</v>
      </c>
    </row>
    <row r="60" spans="1:31" x14ac:dyDescent="0.25">
      <c r="O60" s="82">
        <v>0.97</v>
      </c>
      <c r="P60" s="82">
        <f t="shared" si="3"/>
        <v>103.05279999999999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7">
        <f t="shared" si="1"/>
        <v>4.1473765432098464E-3</v>
      </c>
    </row>
    <row r="61" spans="1:31" x14ac:dyDescent="0.25">
      <c r="O61" s="82">
        <v>0.96</v>
      </c>
      <c r="P61" s="82">
        <f t="shared" si="3"/>
        <v>101.99039999999999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7">
        <f t="shared" si="1"/>
        <v>8.2660702129728758E-3</v>
      </c>
    </row>
    <row r="62" spans="1:31" x14ac:dyDescent="0.25">
      <c r="O62" s="82">
        <v>0.95</v>
      </c>
      <c r="P62" s="82">
        <f t="shared" si="3"/>
        <v>100.928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7">
        <f t="shared" si="1"/>
        <v>9.7211311861742367E-3</v>
      </c>
    </row>
    <row r="63" spans="1:31" x14ac:dyDescent="0.25">
      <c r="O63" s="82">
        <v>0.94</v>
      </c>
      <c r="P63" s="82">
        <f t="shared" si="3"/>
        <v>99.865599999999986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7">
        <f t="shared" si="1"/>
        <v>-7.4074074074073071E-3</v>
      </c>
    </row>
    <row r="64" spans="1:31" x14ac:dyDescent="0.25">
      <c r="O64" s="82">
        <v>0.93</v>
      </c>
      <c r="P64" s="82">
        <f t="shared" si="3"/>
        <v>98.803200000000004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7">
        <f t="shared" si="1"/>
        <v>1.0339734121122657E-2</v>
      </c>
    </row>
    <row r="65" spans="15:31" x14ac:dyDescent="0.25">
      <c r="O65" s="82">
        <v>0.92</v>
      </c>
      <c r="P65" s="82">
        <f t="shared" si="3"/>
        <v>97.740799999999993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7">
        <f t="shared" si="1"/>
        <v>-9.8478939157566892E-3</v>
      </c>
    </row>
    <row r="66" spans="15:31" x14ac:dyDescent="0.25">
      <c r="O66" s="82">
        <v>0.91</v>
      </c>
      <c r="P66" s="82">
        <f t="shared" si="3"/>
        <v>96.678399999999996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7">
        <f t="shared" si="1"/>
        <v>6.0820090249167347E-3</v>
      </c>
    </row>
    <row r="67" spans="15:31" x14ac:dyDescent="0.25">
      <c r="O67" s="82">
        <v>0.9</v>
      </c>
      <c r="P67" s="82">
        <f t="shared" si="3"/>
        <v>95.616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7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13" priority="11">
      <formula>F24&gt;0</formula>
    </cfRule>
    <cfRule type="expression" dxfId="612" priority="12">
      <formula>F24&lt;0</formula>
    </cfRule>
  </conditionalFormatting>
  <conditionalFormatting sqref="H27:H30">
    <cfRule type="expression" dxfId="611" priority="9">
      <formula>H27&gt;0</formula>
    </cfRule>
    <cfRule type="expression" dxfId="610" priority="10">
      <formula>H27&lt;0</formula>
    </cfRule>
  </conditionalFormatting>
  <conditionalFormatting sqref="F25">
    <cfRule type="expression" dxfId="609" priority="7">
      <formula>F25&gt;0</formula>
    </cfRule>
    <cfRule type="expression" dxfId="608" priority="8">
      <formula>F25&lt;0</formula>
    </cfRule>
  </conditionalFormatting>
  <conditionalFormatting sqref="H24:H26">
    <cfRule type="expression" dxfId="607" priority="5">
      <formula>H24&gt;0</formula>
    </cfRule>
    <cfRule type="expression" dxfId="606" priority="6">
      <formula>H24&lt;0</formula>
    </cfRule>
  </conditionalFormatting>
  <conditionalFormatting sqref="Q7">
    <cfRule type="expression" dxfId="605" priority="3">
      <formula>Q7&gt;0</formula>
    </cfRule>
    <cfRule type="expression" dxfId="604" priority="4">
      <formula>Q7&lt;0</formula>
    </cfRule>
  </conditionalFormatting>
  <conditionalFormatting sqref="Q8">
    <cfRule type="expression" dxfId="603" priority="1">
      <formula>Q8&gt;0</formula>
    </cfRule>
    <cfRule type="expression" dxfId="60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49.93</v>
      </c>
      <c r="Y2" s="40">
        <v>50.75</v>
      </c>
      <c r="Z2" s="40">
        <v>49.59</v>
      </c>
      <c r="AA2" s="362">
        <v>49.78</v>
      </c>
      <c r="AB2" s="94">
        <v>1141600</v>
      </c>
      <c r="AC2" s="242">
        <v>49.78</v>
      </c>
      <c r="AD2" s="2">
        <f>Y2-Z2</f>
        <v>1.1599999999999966</v>
      </c>
      <c r="AE2" s="137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48.82</v>
      </c>
      <c r="T3" s="120"/>
      <c r="W3" s="93">
        <v>42829</v>
      </c>
      <c r="X3" s="362">
        <v>50.04</v>
      </c>
      <c r="Y3" s="40">
        <v>50.15</v>
      </c>
      <c r="Z3" s="40">
        <v>49.32</v>
      </c>
      <c r="AA3" s="362">
        <v>49.76</v>
      </c>
      <c r="AB3" s="94">
        <v>1479500</v>
      </c>
      <c r="AC3" s="242">
        <v>49.76</v>
      </c>
      <c r="AD3" s="2">
        <f>Y3-Z3</f>
        <v>0.82999999999999829</v>
      </c>
      <c r="AE3" s="137">
        <f>AC3/AC4-1</f>
        <v>-8.5674437138871795E-3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48.82</v>
      </c>
      <c r="R4" s="518">
        <v>-2.8999999999999998E-3</v>
      </c>
      <c r="T4" s="120"/>
      <c r="W4" s="93">
        <v>42828</v>
      </c>
      <c r="X4" s="362">
        <v>50.74</v>
      </c>
      <c r="Y4" s="40">
        <v>50.95</v>
      </c>
      <c r="Z4" s="40">
        <v>50</v>
      </c>
      <c r="AA4" s="362">
        <v>50.19</v>
      </c>
      <c r="AB4" s="94">
        <v>1299500</v>
      </c>
      <c r="AC4" s="242">
        <v>50.19</v>
      </c>
      <c r="AD4" s="2">
        <f t="shared" ref="AD4:AD67" si="0">Y4-Z4</f>
        <v>0.95000000000000284</v>
      </c>
      <c r="AE4" s="137">
        <f t="shared" ref="AE4:AE67" si="1">AC4/AC5-1</f>
        <v>-1.0644589000591398E-2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50.99</v>
      </c>
      <c r="Y5" s="40">
        <v>51.2</v>
      </c>
      <c r="Z5" s="40">
        <v>50.44</v>
      </c>
      <c r="AA5" s="362">
        <v>50.73</v>
      </c>
      <c r="AB5" s="94">
        <v>1105900</v>
      </c>
      <c r="AC5" s="242">
        <v>50.73</v>
      </c>
      <c r="AD5" s="2">
        <f t="shared" si="0"/>
        <v>0.76000000000000512</v>
      </c>
      <c r="AE5" s="137">
        <f t="shared" si="1"/>
        <v>-9.9531615925059214E-3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50.89</v>
      </c>
      <c r="Y6" s="40">
        <v>51.37</v>
      </c>
      <c r="Z6" s="40">
        <v>50.89</v>
      </c>
      <c r="AA6" s="362">
        <v>51.24</v>
      </c>
      <c r="AB6" s="94">
        <v>754000</v>
      </c>
      <c r="AC6" s="242">
        <v>51.24</v>
      </c>
      <c r="AD6" s="2">
        <f t="shared" si="0"/>
        <v>0.47999999999999687</v>
      </c>
      <c r="AE6" s="137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2">
        <v>51.09</v>
      </c>
      <c r="Y7" s="40">
        <v>51.3</v>
      </c>
      <c r="Z7" s="40">
        <v>50.65</v>
      </c>
      <c r="AA7" s="362">
        <v>50.86</v>
      </c>
      <c r="AB7" s="94">
        <v>1237800</v>
      </c>
      <c r="AC7" s="242">
        <v>50.86</v>
      </c>
      <c r="AD7" s="2">
        <f t="shared" si="0"/>
        <v>0.64999999999999858</v>
      </c>
      <c r="AE7" s="137">
        <f t="shared" si="1"/>
        <v>-8.5769980506822385E-3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51.8</v>
      </c>
      <c r="Y8" s="40">
        <v>52.1</v>
      </c>
      <c r="Z8" s="40">
        <v>51.13</v>
      </c>
      <c r="AA8" s="362">
        <v>51.3</v>
      </c>
      <c r="AB8" s="94">
        <v>1548100</v>
      </c>
      <c r="AC8" s="242">
        <v>51.3</v>
      </c>
      <c r="AD8" s="2">
        <f t="shared" si="0"/>
        <v>0.96999999999999886</v>
      </c>
      <c r="AE8" s="137">
        <f t="shared" si="1"/>
        <v>5.488043904351203E-3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50.15</v>
      </c>
      <c r="Y9" s="40">
        <v>51.17</v>
      </c>
      <c r="Z9" s="40">
        <v>49.92</v>
      </c>
      <c r="AA9" s="362">
        <v>51.02</v>
      </c>
      <c r="AB9" s="94">
        <v>887400</v>
      </c>
      <c r="AC9" s="242">
        <v>51.02</v>
      </c>
      <c r="AD9" s="2">
        <f t="shared" si="0"/>
        <v>1.25</v>
      </c>
      <c r="AE9" s="137">
        <f t="shared" si="1"/>
        <v>1.0697305863708539E-2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2">
        <v>51.34</v>
      </c>
      <c r="Y10" s="40">
        <v>51.53</v>
      </c>
      <c r="Z10" s="40">
        <v>50.3</v>
      </c>
      <c r="AA10" s="362">
        <v>50.48</v>
      </c>
      <c r="AB10" s="94">
        <v>1306900</v>
      </c>
      <c r="AC10" s="242">
        <v>50.48</v>
      </c>
      <c r="AD10" s="2">
        <f t="shared" si="0"/>
        <v>1.230000000000004</v>
      </c>
      <c r="AE10" s="137">
        <f t="shared" si="1"/>
        <v>-1.2326354920759175E-2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50.98</v>
      </c>
      <c r="Y11" s="40">
        <v>51.67</v>
      </c>
      <c r="Z11" s="40">
        <v>50.88</v>
      </c>
      <c r="AA11" s="362">
        <v>51.11</v>
      </c>
      <c r="AB11" s="94">
        <v>1081500</v>
      </c>
      <c r="AC11" s="242">
        <v>51.11</v>
      </c>
      <c r="AD11" s="2">
        <f t="shared" si="0"/>
        <v>0.78999999999999915</v>
      </c>
      <c r="AE11" s="137">
        <f t="shared" si="1"/>
        <v>2.7467137531882457E-3</v>
      </c>
      <c r="AK11" s="233"/>
      <c r="AN11" s="233"/>
    </row>
    <row r="12" spans="1:40" x14ac:dyDescent="0.25">
      <c r="W12" s="93">
        <v>42816</v>
      </c>
      <c r="X12" s="362">
        <v>50.11</v>
      </c>
      <c r="Y12" s="40">
        <v>51.13</v>
      </c>
      <c r="Z12" s="40">
        <v>49.55</v>
      </c>
      <c r="AA12" s="362">
        <v>50.97</v>
      </c>
      <c r="AB12" s="94">
        <v>1129000</v>
      </c>
      <c r="AC12" s="242">
        <v>50.97</v>
      </c>
      <c r="AD12" s="2">
        <f t="shared" si="0"/>
        <v>1.5800000000000054</v>
      </c>
      <c r="AE12" s="137">
        <f t="shared" si="1"/>
        <v>1.9400000000000084E-2</v>
      </c>
    </row>
    <row r="13" spans="1:40" x14ac:dyDescent="0.25">
      <c r="W13" s="93">
        <v>42815</v>
      </c>
      <c r="X13" s="362">
        <v>51.3</v>
      </c>
      <c r="Y13" s="40">
        <v>51.72</v>
      </c>
      <c r="Z13" s="40">
        <v>49.95</v>
      </c>
      <c r="AA13" s="362">
        <v>50</v>
      </c>
      <c r="AB13" s="94">
        <v>1150500</v>
      </c>
      <c r="AC13" s="242">
        <v>50</v>
      </c>
      <c r="AD13" s="2">
        <f t="shared" si="0"/>
        <v>1.769999999999996</v>
      </c>
      <c r="AE13" s="137">
        <f t="shared" si="1"/>
        <v>-2.1526418786692814E-2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51.36</v>
      </c>
      <c r="Y14" s="40">
        <v>51.53</v>
      </c>
      <c r="Z14" s="40">
        <v>50.81</v>
      </c>
      <c r="AA14" s="362">
        <v>51.1</v>
      </c>
      <c r="AB14" s="94">
        <v>838900</v>
      </c>
      <c r="AC14" s="242">
        <v>51.1</v>
      </c>
      <c r="AD14" s="2">
        <f t="shared" si="0"/>
        <v>0.71999999999999886</v>
      </c>
      <c r="AE14" s="137">
        <f t="shared" si="1"/>
        <v>-4.0927694406548421E-3</v>
      </c>
    </row>
    <row r="15" spans="1:40" x14ac:dyDescent="0.25">
      <c r="W15" s="93">
        <v>42811</v>
      </c>
      <c r="X15" s="362">
        <v>51.71</v>
      </c>
      <c r="Y15" s="40">
        <v>51.85</v>
      </c>
      <c r="Z15" s="40">
        <v>51.25</v>
      </c>
      <c r="AA15" s="362">
        <v>51.31</v>
      </c>
      <c r="AB15" s="94">
        <v>1236400</v>
      </c>
      <c r="AC15" s="242">
        <v>51.31</v>
      </c>
      <c r="AD15" s="2">
        <f t="shared" si="0"/>
        <v>0.60000000000000142</v>
      </c>
      <c r="AE15" s="137">
        <f t="shared" si="1"/>
        <v>-2.3332685203187875E-3</v>
      </c>
      <c r="AK15" s="233"/>
      <c r="AN15" s="233"/>
    </row>
    <row r="16" spans="1:40" x14ac:dyDescent="0.25">
      <c r="W16" s="93">
        <v>42810</v>
      </c>
      <c r="X16" s="362">
        <v>51.35</v>
      </c>
      <c r="Y16" s="40">
        <v>51.45</v>
      </c>
      <c r="Z16" s="40">
        <v>51.06</v>
      </c>
      <c r="AA16" s="362">
        <v>51.43</v>
      </c>
      <c r="AB16" s="94">
        <v>775100</v>
      </c>
      <c r="AC16" s="242">
        <v>51.43</v>
      </c>
      <c r="AD16" s="2">
        <f t="shared" si="0"/>
        <v>0.39000000000000057</v>
      </c>
      <c r="AE16" s="137">
        <f t="shared" si="1"/>
        <v>3.8902937171769736E-4</v>
      </c>
    </row>
    <row r="17" spans="1:40" x14ac:dyDescent="0.25">
      <c r="W17" s="93">
        <v>42809</v>
      </c>
      <c r="X17" s="362">
        <v>51.05</v>
      </c>
      <c r="Y17" s="40">
        <v>51.49</v>
      </c>
      <c r="Z17" s="40">
        <v>50.71</v>
      </c>
      <c r="AA17" s="362">
        <v>51.41</v>
      </c>
      <c r="AB17" s="94">
        <v>1141500</v>
      </c>
      <c r="AC17" s="242">
        <v>51.41</v>
      </c>
      <c r="AD17" s="2">
        <f t="shared" si="0"/>
        <v>0.78000000000000114</v>
      </c>
      <c r="AE17" s="137">
        <f t="shared" si="1"/>
        <v>8.8304552590265928E-3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51.21</v>
      </c>
      <c r="Y18" s="40">
        <v>51.23</v>
      </c>
      <c r="Z18" s="40">
        <v>50.4</v>
      </c>
      <c r="AA18" s="362">
        <v>50.96</v>
      </c>
      <c r="AB18" s="94">
        <v>1066000</v>
      </c>
      <c r="AC18" s="242">
        <v>50.96</v>
      </c>
      <c r="AD18" s="2">
        <f t="shared" si="0"/>
        <v>0.82999999999999829</v>
      </c>
      <c r="AE18" s="137">
        <f t="shared" si="1"/>
        <v>-7.0148090413094666E-3</v>
      </c>
    </row>
    <row r="19" spans="1:40" x14ac:dyDescent="0.25">
      <c r="W19" s="93">
        <v>42807</v>
      </c>
      <c r="X19" s="362">
        <v>51.83</v>
      </c>
      <c r="Y19" s="40">
        <v>51.83</v>
      </c>
      <c r="Z19" s="40">
        <v>51.11</v>
      </c>
      <c r="AA19" s="362">
        <v>51.32</v>
      </c>
      <c r="AB19" s="94">
        <v>1086300</v>
      </c>
      <c r="AC19" s="242">
        <v>51.32</v>
      </c>
      <c r="AD19" s="2">
        <f t="shared" si="0"/>
        <v>0.71999999999999886</v>
      </c>
      <c r="AE19" s="137">
        <f t="shared" si="1"/>
        <v>4.3052837573385183E-3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50.23</v>
      </c>
      <c r="Y20" s="40">
        <v>51.22</v>
      </c>
      <c r="Z20" s="40">
        <v>50.07</v>
      </c>
      <c r="AA20" s="362">
        <v>51.1</v>
      </c>
      <c r="AB20" s="94">
        <v>1157000</v>
      </c>
      <c r="AC20" s="242">
        <v>51.1</v>
      </c>
      <c r="AD20" s="2">
        <f t="shared" si="0"/>
        <v>1.1499999999999986</v>
      </c>
      <c r="AE20" s="137">
        <f t="shared" si="1"/>
        <v>2.3637820512820484E-2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42803</v>
      </c>
      <c r="X21" s="362">
        <v>49.77</v>
      </c>
      <c r="Y21" s="40">
        <v>50.06</v>
      </c>
      <c r="Z21" s="40">
        <v>49.48</v>
      </c>
      <c r="AA21" s="362">
        <v>49.92</v>
      </c>
      <c r="AB21" s="94">
        <v>765700</v>
      </c>
      <c r="AC21" s="242">
        <v>49.92</v>
      </c>
      <c r="AD21" s="2">
        <f t="shared" si="0"/>
        <v>0.5800000000000054</v>
      </c>
      <c r="AE21" s="137">
        <f t="shared" si="1"/>
        <v>8.0775444264942209E-3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42802</v>
      </c>
      <c r="X22" s="362">
        <v>49.59</v>
      </c>
      <c r="Y22" s="40">
        <v>49.83</v>
      </c>
      <c r="Z22" s="40">
        <v>49.4</v>
      </c>
      <c r="AA22" s="362">
        <v>49.52</v>
      </c>
      <c r="AB22" s="94">
        <v>776700</v>
      </c>
      <c r="AC22" s="242">
        <v>49.52</v>
      </c>
      <c r="AD22" s="2">
        <f t="shared" si="0"/>
        <v>0.42999999999999972</v>
      </c>
      <c r="AE22" s="137">
        <f t="shared" si="1"/>
        <v>2.0234722784298054E-3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42801</v>
      </c>
      <c r="X23" s="362">
        <v>49.56</v>
      </c>
      <c r="Y23" s="40">
        <v>49.76</v>
      </c>
      <c r="Z23" s="40">
        <v>49.05</v>
      </c>
      <c r="AA23" s="362">
        <v>49.42</v>
      </c>
      <c r="AB23" s="94">
        <v>806900</v>
      </c>
      <c r="AC23" s="242">
        <v>49.42</v>
      </c>
      <c r="AD23" s="2">
        <f t="shared" si="0"/>
        <v>0.71000000000000085</v>
      </c>
      <c r="AE23" s="137">
        <f t="shared" si="1"/>
        <v>-6.8327974276526371E-3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42800</v>
      </c>
      <c r="X24" s="362">
        <v>49.9</v>
      </c>
      <c r="Y24" s="40">
        <v>50</v>
      </c>
      <c r="Z24" s="40">
        <v>49.16</v>
      </c>
      <c r="AA24" s="362">
        <v>49.76</v>
      </c>
      <c r="AB24" s="94">
        <v>1200800</v>
      </c>
      <c r="AC24" s="242">
        <v>49.76</v>
      </c>
      <c r="AD24" s="2">
        <f t="shared" si="0"/>
        <v>0.84000000000000341</v>
      </c>
      <c r="AE24" s="137">
        <f t="shared" si="1"/>
        <v>-6.984633805627638E-3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42797</v>
      </c>
      <c r="X25" s="362">
        <v>51</v>
      </c>
      <c r="Y25" s="40">
        <v>51</v>
      </c>
      <c r="Z25" s="40">
        <v>49.79</v>
      </c>
      <c r="AA25" s="362">
        <v>50.11</v>
      </c>
      <c r="AB25" s="94">
        <v>849100</v>
      </c>
      <c r="AC25" s="242">
        <v>50.11</v>
      </c>
      <c r="AD25" s="2">
        <f t="shared" si="0"/>
        <v>1.2100000000000009</v>
      </c>
      <c r="AE25" s="137">
        <f t="shared" si="1"/>
        <v>-1.7065515888583738E-2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42796</v>
      </c>
      <c r="X26" s="362">
        <v>50.79</v>
      </c>
      <c r="Y26" s="40">
        <v>51.25</v>
      </c>
      <c r="Z26" s="40">
        <v>50.63</v>
      </c>
      <c r="AA26" s="362">
        <v>50.98</v>
      </c>
      <c r="AB26" s="94">
        <v>878700</v>
      </c>
      <c r="AC26" s="242">
        <v>50.98</v>
      </c>
      <c r="AD26" s="2">
        <f t="shared" si="0"/>
        <v>0.61999999999999744</v>
      </c>
      <c r="AE26" s="137">
        <f t="shared" si="1"/>
        <v>-1.3712047012732764E-3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42795</v>
      </c>
      <c r="X27" s="362">
        <v>51.12</v>
      </c>
      <c r="Y27" s="40">
        <v>51.61</v>
      </c>
      <c r="Z27" s="40">
        <v>50.42</v>
      </c>
      <c r="AA27" s="362">
        <v>51.05</v>
      </c>
      <c r="AB27" s="94">
        <v>1192400</v>
      </c>
      <c r="AC27" s="242">
        <v>51.05</v>
      </c>
      <c r="AD27" s="2">
        <f t="shared" si="0"/>
        <v>1.1899999999999977</v>
      </c>
      <c r="AE27" s="137">
        <f t="shared" si="1"/>
        <v>6.9033530571991353E-3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42794</v>
      </c>
      <c r="X28" s="362">
        <v>50.82</v>
      </c>
      <c r="Y28" s="40">
        <v>51.2</v>
      </c>
      <c r="Z28" s="40">
        <v>50.45</v>
      </c>
      <c r="AA28" s="362">
        <v>50.7</v>
      </c>
      <c r="AB28" s="94">
        <v>932200</v>
      </c>
      <c r="AC28" s="242">
        <v>50.7</v>
      </c>
      <c r="AD28" s="2">
        <f t="shared" si="0"/>
        <v>0.75</v>
      </c>
      <c r="AE28" s="137">
        <f t="shared" si="1"/>
        <v>-1.378766988379021E-3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42793</v>
      </c>
      <c r="X29" s="362">
        <v>49.93</v>
      </c>
      <c r="Y29" s="40">
        <v>50.83</v>
      </c>
      <c r="Z29" s="40">
        <v>49.57</v>
      </c>
      <c r="AA29" s="362">
        <v>50.77</v>
      </c>
      <c r="AB29" s="94">
        <v>1326600</v>
      </c>
      <c r="AC29" s="242">
        <v>50.77</v>
      </c>
      <c r="AD29" s="2">
        <f t="shared" si="0"/>
        <v>1.259999999999998</v>
      </c>
      <c r="AE29" s="137">
        <f t="shared" si="1"/>
        <v>1.4994002399040474E-2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42790</v>
      </c>
      <c r="X30" s="362">
        <v>50.51</v>
      </c>
      <c r="Y30" s="40">
        <v>50.63</v>
      </c>
      <c r="Z30" s="40">
        <v>49.77</v>
      </c>
      <c r="AA30" s="362">
        <v>50.02</v>
      </c>
      <c r="AB30" s="94">
        <v>1442900</v>
      </c>
      <c r="AC30" s="242">
        <v>50.02</v>
      </c>
      <c r="AD30" s="2">
        <f t="shared" si="0"/>
        <v>0.85999999999999943</v>
      </c>
      <c r="AE30" s="137">
        <f t="shared" si="1"/>
        <v>-1.3022888713496328E-2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42789</v>
      </c>
      <c r="X31" s="362">
        <v>52.48</v>
      </c>
      <c r="Y31" s="40">
        <v>52.5</v>
      </c>
      <c r="Z31" s="40">
        <v>50.61</v>
      </c>
      <c r="AA31" s="362">
        <v>50.68</v>
      </c>
      <c r="AB31" s="94">
        <v>1869800</v>
      </c>
      <c r="AC31" s="242">
        <v>50.68</v>
      </c>
      <c r="AD31" s="2">
        <f t="shared" si="0"/>
        <v>1.8900000000000006</v>
      </c>
      <c r="AE31" s="137">
        <f t="shared" si="1"/>
        <v>-1.8590240123934954E-2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42788</v>
      </c>
      <c r="X32" s="362">
        <v>49.24</v>
      </c>
      <c r="Y32" s="40">
        <v>52.14</v>
      </c>
      <c r="Z32" s="40">
        <v>48.68</v>
      </c>
      <c r="AA32" s="362">
        <v>51.64</v>
      </c>
      <c r="AB32" s="94">
        <v>4043000</v>
      </c>
      <c r="AC32" s="242">
        <v>51.64</v>
      </c>
      <c r="AD32" s="2">
        <f t="shared" si="0"/>
        <v>3.4600000000000009</v>
      </c>
      <c r="AE32" s="137">
        <f t="shared" si="1"/>
        <v>7.1369294605809097E-2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42787</v>
      </c>
      <c r="X33" s="362">
        <v>47.74</v>
      </c>
      <c r="Y33" s="40">
        <v>48.52</v>
      </c>
      <c r="Z33" s="40">
        <v>47.74</v>
      </c>
      <c r="AA33" s="362">
        <v>48.2</v>
      </c>
      <c r="AB33" s="94">
        <v>1801900</v>
      </c>
      <c r="AC33" s="242">
        <v>48.2</v>
      </c>
      <c r="AD33" s="2">
        <f t="shared" si="0"/>
        <v>0.78000000000000114</v>
      </c>
      <c r="AE33" s="137">
        <f t="shared" si="1"/>
        <v>1.0694065841895695E-2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47.62</v>
      </c>
      <c r="Y34" s="40">
        <v>47.85</v>
      </c>
      <c r="Z34" s="40">
        <v>47.27</v>
      </c>
      <c r="AA34" s="362">
        <v>47.69</v>
      </c>
      <c r="AB34" s="94">
        <v>1653700</v>
      </c>
      <c r="AC34" s="242">
        <v>47.69</v>
      </c>
      <c r="AD34" s="2">
        <f t="shared" si="0"/>
        <v>0.57999999999999829</v>
      </c>
      <c r="AE34" s="137">
        <f t="shared" si="1"/>
        <v>1.259710266638514E-3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47.95</v>
      </c>
      <c r="Y35" s="40">
        <v>48.14</v>
      </c>
      <c r="Z35" s="40">
        <v>47.24</v>
      </c>
      <c r="AA35" s="362">
        <v>47.63</v>
      </c>
      <c r="AB35" s="94">
        <v>1236300</v>
      </c>
      <c r="AC35" s="242">
        <v>47.63</v>
      </c>
      <c r="AD35" s="2">
        <f t="shared" si="0"/>
        <v>0.89999999999999858</v>
      </c>
      <c r="AE35" s="137">
        <f t="shared" si="1"/>
        <v>-6.0517529215359245E-3</v>
      </c>
    </row>
    <row r="36" spans="1:31" x14ac:dyDescent="0.25">
      <c r="W36" s="93">
        <v>42781</v>
      </c>
      <c r="X36" s="362">
        <v>47.66</v>
      </c>
      <c r="Y36" s="40">
        <v>48.12</v>
      </c>
      <c r="Z36" s="40">
        <v>47.01</v>
      </c>
      <c r="AA36" s="362">
        <v>47.92</v>
      </c>
      <c r="AB36" s="94">
        <v>1463000</v>
      </c>
      <c r="AC36" s="242">
        <v>47.92</v>
      </c>
      <c r="AD36" s="2">
        <f t="shared" si="0"/>
        <v>1.1099999999999994</v>
      </c>
      <c r="AE36" s="137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2">
        <v>47.82</v>
      </c>
      <c r="Y37" s="40">
        <v>47.97</v>
      </c>
      <c r="Z37" s="40">
        <v>47.58</v>
      </c>
      <c r="AA37" s="362">
        <v>47.77</v>
      </c>
      <c r="AB37" s="94">
        <v>1048700</v>
      </c>
      <c r="AC37" s="242">
        <v>47.77</v>
      </c>
      <c r="AD37" s="2">
        <f t="shared" si="0"/>
        <v>0.39000000000000057</v>
      </c>
      <c r="AE37" s="137">
        <f t="shared" si="1"/>
        <v>-2.088991017338504E-3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48.02</v>
      </c>
      <c r="Y38" s="40">
        <v>48.1</v>
      </c>
      <c r="Z38" s="40">
        <v>47.56</v>
      </c>
      <c r="AA38" s="362">
        <v>47.87</v>
      </c>
      <c r="AB38" s="94">
        <v>1449900</v>
      </c>
      <c r="AC38" s="242">
        <v>47.87</v>
      </c>
      <c r="AD38" s="2">
        <f t="shared" si="0"/>
        <v>0.53999999999999915</v>
      </c>
      <c r="AE38" s="137">
        <f t="shared" si="1"/>
        <v>1.4644351464434546E-3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48.43</v>
      </c>
      <c r="Y39" s="40">
        <v>48.91</v>
      </c>
      <c r="Z39" s="40">
        <v>47.54</v>
      </c>
      <c r="AA39" s="362">
        <v>47.8</v>
      </c>
      <c r="AB39" s="94">
        <v>1611000</v>
      </c>
      <c r="AC39" s="242">
        <v>47.8</v>
      </c>
      <c r="AD39" s="2">
        <f t="shared" si="0"/>
        <v>1.3699999999999974</v>
      </c>
      <c r="AE39" s="137">
        <f t="shared" si="1"/>
        <v>-5.4099042863089419E-3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53.702000000000005</v>
      </c>
      <c r="R40" s="34"/>
      <c r="T40" s="96" t="s">
        <v>98</v>
      </c>
      <c r="U40" s="128">
        <v>49.76</v>
      </c>
      <c r="W40" s="93">
        <v>42775</v>
      </c>
      <c r="X40" s="362">
        <v>47.81</v>
      </c>
      <c r="Y40" s="40">
        <v>48.31</v>
      </c>
      <c r="Z40" s="40">
        <v>47.7</v>
      </c>
      <c r="AA40" s="362">
        <v>48.06</v>
      </c>
      <c r="AB40" s="94">
        <v>1249200</v>
      </c>
      <c r="AC40" s="242">
        <v>48.06</v>
      </c>
      <c r="AD40" s="2">
        <f t="shared" si="0"/>
        <v>0.60999999999999943</v>
      </c>
      <c r="AE40" s="137">
        <f t="shared" si="1"/>
        <v>4.1788549937318287E-3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53.213800000000006</v>
      </c>
      <c r="R41" s="34"/>
      <c r="T41" s="86" t="s">
        <v>99</v>
      </c>
      <c r="U41" s="129">
        <v>49.93</v>
      </c>
      <c r="W41" s="93">
        <v>42774</v>
      </c>
      <c r="X41" s="362">
        <v>47.88</v>
      </c>
      <c r="Y41" s="40">
        <v>48.14</v>
      </c>
      <c r="Z41" s="40">
        <v>47.51</v>
      </c>
      <c r="AA41" s="362">
        <v>47.86</v>
      </c>
      <c r="AB41" s="94">
        <v>1065800</v>
      </c>
      <c r="AC41" s="242">
        <v>47.86</v>
      </c>
      <c r="AD41" s="2">
        <f t="shared" si="0"/>
        <v>0.63000000000000256</v>
      </c>
      <c r="AE41" s="137">
        <f t="shared" si="1"/>
        <v>3.3542976939202607E-3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52.725600000000007</v>
      </c>
      <c r="R42" s="34"/>
      <c r="T42" s="86" t="s">
        <v>100</v>
      </c>
      <c r="U42" s="129" t="s">
        <v>708</v>
      </c>
      <c r="W42" s="93">
        <v>42773</v>
      </c>
      <c r="X42" s="362">
        <v>47.58</v>
      </c>
      <c r="Y42" s="40">
        <v>48.09</v>
      </c>
      <c r="Z42" s="40">
        <v>47.47</v>
      </c>
      <c r="AA42" s="362">
        <v>47.7</v>
      </c>
      <c r="AB42" s="94">
        <v>1477200</v>
      </c>
      <c r="AC42" s="242">
        <v>47.7</v>
      </c>
      <c r="AD42" s="2">
        <f t="shared" si="0"/>
        <v>0.62000000000000455</v>
      </c>
      <c r="AE42" s="137">
        <f t="shared" si="1"/>
        <v>3.7878787878786735E-3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52.237400000000001</v>
      </c>
      <c r="R43" s="82"/>
      <c r="T43" s="86" t="s">
        <v>101</v>
      </c>
      <c r="U43" s="129" t="s">
        <v>709</v>
      </c>
      <c r="W43" s="93">
        <v>42772</v>
      </c>
      <c r="X43" s="362">
        <v>47.76</v>
      </c>
      <c r="Y43" s="40">
        <v>48.02</v>
      </c>
      <c r="Z43" s="40">
        <v>47.28</v>
      </c>
      <c r="AA43" s="362">
        <v>47.52</v>
      </c>
      <c r="AB43" s="94">
        <v>1139100</v>
      </c>
      <c r="AC43" s="242">
        <v>47.52</v>
      </c>
      <c r="AD43" s="2">
        <f t="shared" si="0"/>
        <v>0.74000000000000199</v>
      </c>
      <c r="AE43" s="137">
        <f t="shared" si="1"/>
        <v>-4.6082949308755561E-3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51.749200000000002</v>
      </c>
      <c r="R44" s="82"/>
      <c r="T44" s="86" t="s">
        <v>102</v>
      </c>
      <c r="U44" s="129">
        <v>54.65</v>
      </c>
      <c r="W44" s="93">
        <v>42769</v>
      </c>
      <c r="X44" s="362">
        <v>48.13</v>
      </c>
      <c r="Y44" s="40">
        <v>48.36</v>
      </c>
      <c r="Z44" s="40">
        <v>47.41</v>
      </c>
      <c r="AA44" s="362">
        <v>47.74</v>
      </c>
      <c r="AB44" s="94">
        <v>760800</v>
      </c>
      <c r="AC44" s="242">
        <v>47.74</v>
      </c>
      <c r="AD44" s="2">
        <f t="shared" si="0"/>
        <v>0.95000000000000284</v>
      </c>
      <c r="AE44" s="137">
        <f t="shared" si="1"/>
        <v>1.6785564414605325E-3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51.261000000000003</v>
      </c>
      <c r="R45" s="82"/>
      <c r="T45" s="86" t="s">
        <v>103</v>
      </c>
      <c r="U45" s="129">
        <v>1.56863</v>
      </c>
      <c r="W45" s="93">
        <v>42768</v>
      </c>
      <c r="X45" s="362">
        <v>48.17</v>
      </c>
      <c r="Y45" s="40">
        <v>48.5</v>
      </c>
      <c r="Z45" s="40">
        <v>47.55</v>
      </c>
      <c r="AA45" s="362">
        <v>47.66</v>
      </c>
      <c r="AB45" s="94">
        <v>694700</v>
      </c>
      <c r="AC45" s="242">
        <v>47.66</v>
      </c>
      <c r="AD45" s="2">
        <f t="shared" si="0"/>
        <v>0.95000000000000284</v>
      </c>
      <c r="AE45" s="137">
        <f t="shared" si="1"/>
        <v>-8.7354409317803583E-3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50.772800000000004</v>
      </c>
      <c r="R46" s="82"/>
      <c r="T46" s="86" t="s">
        <v>122</v>
      </c>
      <c r="U46" s="231" t="s">
        <v>451</v>
      </c>
      <c r="W46" s="93">
        <v>42767</v>
      </c>
      <c r="X46" s="362">
        <v>47.3</v>
      </c>
      <c r="Y46" s="40">
        <v>48.45</v>
      </c>
      <c r="Z46" s="40">
        <v>46.83</v>
      </c>
      <c r="AA46" s="362">
        <v>48.08</v>
      </c>
      <c r="AB46" s="94">
        <v>1288500</v>
      </c>
      <c r="AC46" s="242">
        <v>48.08</v>
      </c>
      <c r="AD46" s="2">
        <f t="shared" si="0"/>
        <v>1.6200000000000045</v>
      </c>
      <c r="AE46" s="137">
        <f t="shared" si="1"/>
        <v>2.297872340425533E-2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50.284600000000005</v>
      </c>
      <c r="R47" s="82"/>
      <c r="T47" s="86"/>
      <c r="U47" s="129"/>
      <c r="W47" s="93">
        <v>42766</v>
      </c>
      <c r="X47" s="362">
        <v>47.88</v>
      </c>
      <c r="Y47" s="40">
        <v>48.11</v>
      </c>
      <c r="Z47" s="40">
        <v>46.83</v>
      </c>
      <c r="AA47" s="362">
        <v>47</v>
      </c>
      <c r="AB47" s="94">
        <v>1625200</v>
      </c>
      <c r="AC47" s="242">
        <v>47</v>
      </c>
      <c r="AD47" s="2">
        <f t="shared" si="0"/>
        <v>1.2800000000000011</v>
      </c>
      <c r="AE47" s="137">
        <f t="shared" si="1"/>
        <v>-2.1444930251925953E-2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49.796399999999998</v>
      </c>
      <c r="R48" s="82"/>
      <c r="T48" s="86" t="s">
        <v>105</v>
      </c>
      <c r="U48" s="129" t="s">
        <v>710</v>
      </c>
      <c r="W48" s="93">
        <v>42765</v>
      </c>
      <c r="X48" s="362">
        <v>48.8</v>
      </c>
      <c r="Y48" s="40">
        <v>48.88</v>
      </c>
      <c r="Z48" s="40">
        <v>47.94</v>
      </c>
      <c r="AA48" s="362">
        <v>48.03</v>
      </c>
      <c r="AB48" s="94">
        <v>1323500</v>
      </c>
      <c r="AC48" s="242">
        <v>48.03</v>
      </c>
      <c r="AD48" s="2">
        <f t="shared" si="0"/>
        <v>0.94000000000000483</v>
      </c>
      <c r="AE48" s="137">
        <f t="shared" si="1"/>
        <v>-2.0195838433292534E-2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49.308199999999999</v>
      </c>
      <c r="R49" s="82"/>
      <c r="T49" s="86" t="s">
        <v>106</v>
      </c>
      <c r="U49" s="129" t="s">
        <v>613</v>
      </c>
      <c r="W49" s="93">
        <v>42762</v>
      </c>
      <c r="X49" s="362">
        <v>49.35</v>
      </c>
      <c r="Y49" s="40">
        <v>49.56</v>
      </c>
      <c r="Z49" s="40">
        <v>48.61</v>
      </c>
      <c r="AA49" s="362">
        <v>49.02</v>
      </c>
      <c r="AB49" s="94">
        <v>945300</v>
      </c>
      <c r="AC49" s="242">
        <v>49.02</v>
      </c>
      <c r="AD49" s="2">
        <f t="shared" si="0"/>
        <v>0.95000000000000284</v>
      </c>
      <c r="AE49" s="137">
        <f t="shared" si="1"/>
        <v>-6.284208392458801E-3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48.82</v>
      </c>
      <c r="R50" s="82"/>
      <c r="T50" s="86" t="s">
        <v>107</v>
      </c>
      <c r="U50" s="130">
        <v>1141622</v>
      </c>
      <c r="W50" s="93">
        <v>42761</v>
      </c>
      <c r="X50" s="362">
        <v>49.22</v>
      </c>
      <c r="Y50" s="40">
        <v>50.05</v>
      </c>
      <c r="Z50" s="40">
        <v>48.77</v>
      </c>
      <c r="AA50" s="362">
        <v>49.33</v>
      </c>
      <c r="AB50" s="94">
        <v>2613500</v>
      </c>
      <c r="AC50" s="242">
        <v>49.33</v>
      </c>
      <c r="AD50" s="2">
        <f t="shared" si="0"/>
        <v>1.279999999999994</v>
      </c>
      <c r="AE50" s="137">
        <f t="shared" si="1"/>
        <v>2.5784986483676331E-2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48.331800000000001</v>
      </c>
      <c r="R51" s="82"/>
      <c r="T51" s="86" t="s">
        <v>110</v>
      </c>
      <c r="U51" s="130">
        <v>1194830</v>
      </c>
      <c r="W51" s="93">
        <v>42760</v>
      </c>
      <c r="X51" s="362">
        <v>47.22</v>
      </c>
      <c r="Y51" s="40">
        <v>48.24</v>
      </c>
      <c r="Z51" s="40">
        <v>46.96</v>
      </c>
      <c r="AA51" s="362">
        <v>48.09</v>
      </c>
      <c r="AB51" s="94">
        <v>1275800</v>
      </c>
      <c r="AC51" s="242">
        <v>48.09</v>
      </c>
      <c r="AD51" s="2">
        <f t="shared" si="0"/>
        <v>1.2800000000000011</v>
      </c>
      <c r="AE51" s="137">
        <f t="shared" si="1"/>
        <v>2.6686592655849717E-2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47.843600000000002</v>
      </c>
      <c r="R52" s="82"/>
      <c r="T52" s="86" t="s">
        <v>108</v>
      </c>
      <c r="U52" s="129" t="s">
        <v>711</v>
      </c>
      <c r="W52" s="93">
        <v>42759</v>
      </c>
      <c r="X52" s="362">
        <v>45.92</v>
      </c>
      <c r="Y52" s="40">
        <v>46.95</v>
      </c>
      <c r="Z52" s="40">
        <v>45.83</v>
      </c>
      <c r="AA52" s="362">
        <v>46.84</v>
      </c>
      <c r="AB52" s="94">
        <v>1239400</v>
      </c>
      <c r="AC52" s="242">
        <v>46.84</v>
      </c>
      <c r="AD52" s="2">
        <f t="shared" si="0"/>
        <v>1.1200000000000045</v>
      </c>
      <c r="AE52" s="137">
        <f t="shared" si="1"/>
        <v>1.8260869565217552E-2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47.355399999999996</v>
      </c>
      <c r="R53" s="82"/>
      <c r="T53" s="86" t="s">
        <v>111</v>
      </c>
      <c r="U53" s="129">
        <v>17.91</v>
      </c>
      <c r="W53" s="93">
        <v>42758</v>
      </c>
      <c r="X53" s="362">
        <v>45.47</v>
      </c>
      <c r="Y53" s="40">
        <v>46.15</v>
      </c>
      <c r="Z53" s="40">
        <v>45.15</v>
      </c>
      <c r="AA53" s="362">
        <v>46</v>
      </c>
      <c r="AB53" s="94">
        <v>826800</v>
      </c>
      <c r="AC53" s="242">
        <v>46</v>
      </c>
      <c r="AD53" s="2">
        <f t="shared" si="0"/>
        <v>1</v>
      </c>
      <c r="AE53" s="137">
        <f t="shared" si="1"/>
        <v>8.1087004163926668E-3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46.867199999999997</v>
      </c>
      <c r="R54" s="82"/>
      <c r="T54" s="86" t="s">
        <v>112</v>
      </c>
      <c r="U54" s="129">
        <v>2.78</v>
      </c>
      <c r="W54" s="93">
        <v>42755</v>
      </c>
      <c r="X54" s="362">
        <v>45.93</v>
      </c>
      <c r="Y54" s="40">
        <v>46.41</v>
      </c>
      <c r="Z54" s="40">
        <v>45.41</v>
      </c>
      <c r="AA54" s="362">
        <v>45.63</v>
      </c>
      <c r="AB54" s="94">
        <v>736000</v>
      </c>
      <c r="AC54" s="242">
        <v>45.63</v>
      </c>
      <c r="AD54" s="2">
        <f t="shared" si="0"/>
        <v>1</v>
      </c>
      <c r="AE54" s="137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46.378999999999998</v>
      </c>
      <c r="R55" s="82"/>
      <c r="T55" s="86" t="s">
        <v>109</v>
      </c>
      <c r="U55" s="129" t="s">
        <v>123</v>
      </c>
      <c r="W55" s="93">
        <v>42754</v>
      </c>
      <c r="X55" s="362">
        <v>45.76</v>
      </c>
      <c r="Y55" s="40">
        <v>46.36</v>
      </c>
      <c r="Z55" s="40">
        <v>45.39</v>
      </c>
      <c r="AA55" s="362">
        <v>45.62</v>
      </c>
      <c r="AB55" s="94">
        <v>1031300</v>
      </c>
      <c r="AC55" s="242">
        <v>45.62</v>
      </c>
      <c r="AD55" s="2">
        <f t="shared" si="0"/>
        <v>0.96999999999999886</v>
      </c>
      <c r="AE55" s="137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45.890799999999999</v>
      </c>
      <c r="R56" s="82"/>
      <c r="W56" s="93">
        <v>42753</v>
      </c>
      <c r="X56" s="362">
        <v>44.97</v>
      </c>
      <c r="Y56" s="40">
        <v>45.77</v>
      </c>
      <c r="Z56" s="40">
        <v>44.56</v>
      </c>
      <c r="AA56" s="362">
        <v>45.67</v>
      </c>
      <c r="AB56" s="94">
        <v>943000</v>
      </c>
      <c r="AC56" s="242">
        <v>45.67</v>
      </c>
      <c r="AD56" s="2">
        <f t="shared" si="0"/>
        <v>1.2100000000000009</v>
      </c>
      <c r="AE56" s="137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45.4026</v>
      </c>
      <c r="R57" s="82"/>
      <c r="W57" s="93">
        <v>42752</v>
      </c>
      <c r="X57" s="362">
        <v>45.08</v>
      </c>
      <c r="Y57" s="40">
        <v>45.22</v>
      </c>
      <c r="Z57" s="40">
        <v>44.2</v>
      </c>
      <c r="AA57" s="362">
        <v>44.74</v>
      </c>
      <c r="AB57" s="94">
        <v>905400</v>
      </c>
      <c r="AC57" s="242">
        <v>44.74</v>
      </c>
      <c r="AD57" s="2">
        <f t="shared" si="0"/>
        <v>1.019999999999996</v>
      </c>
      <c r="AE57" s="137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44.914400000000001</v>
      </c>
      <c r="R58" s="82"/>
      <c r="W58" s="93">
        <v>42748</v>
      </c>
      <c r="X58" s="362">
        <v>45.49</v>
      </c>
      <c r="Y58" s="40">
        <v>45.49</v>
      </c>
      <c r="Z58" s="40">
        <v>44.84</v>
      </c>
      <c r="AA58" s="362">
        <v>44.95</v>
      </c>
      <c r="AB58" s="94">
        <v>547700</v>
      </c>
      <c r="AC58" s="242">
        <v>44.95</v>
      </c>
      <c r="AD58" s="2">
        <f t="shared" si="0"/>
        <v>0.64999999999999858</v>
      </c>
      <c r="AE58" s="137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44.426200000000001</v>
      </c>
      <c r="R59" s="82"/>
      <c r="W59" s="93">
        <v>42747</v>
      </c>
      <c r="X59" s="362">
        <v>45.47</v>
      </c>
      <c r="Y59" s="40">
        <v>45.83</v>
      </c>
      <c r="Z59" s="40">
        <v>44.67</v>
      </c>
      <c r="AA59" s="362">
        <v>45.35</v>
      </c>
      <c r="AB59" s="94">
        <v>731500</v>
      </c>
      <c r="AC59" s="242">
        <v>45.35</v>
      </c>
      <c r="AD59" s="2">
        <f t="shared" si="0"/>
        <v>1.1599999999999966</v>
      </c>
      <c r="AE59" s="137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43.938000000000002</v>
      </c>
      <c r="R60" s="82"/>
      <c r="W60" s="93">
        <v>42746</v>
      </c>
      <c r="X60" s="362">
        <v>45.01</v>
      </c>
      <c r="Y60" s="40">
        <v>45.82</v>
      </c>
      <c r="Z60" s="40">
        <v>44.72</v>
      </c>
      <c r="AA60" s="362">
        <v>45.75</v>
      </c>
      <c r="AB60" s="94">
        <v>870500</v>
      </c>
      <c r="AC60" s="242">
        <v>45.75</v>
      </c>
      <c r="AD60" s="2">
        <f t="shared" si="0"/>
        <v>1.1000000000000014</v>
      </c>
      <c r="AE60" s="137">
        <f t="shared" si="1"/>
        <v>1.1720477664750151E-2</v>
      </c>
    </row>
    <row r="61" spans="1:31" x14ac:dyDescent="0.25">
      <c r="W61" s="93">
        <v>42745</v>
      </c>
      <c r="X61" s="362">
        <v>44.33</v>
      </c>
      <c r="Y61" s="40">
        <v>45.36</v>
      </c>
      <c r="Z61" s="40">
        <v>44.33</v>
      </c>
      <c r="AA61" s="362">
        <v>45.22</v>
      </c>
      <c r="AB61" s="94">
        <v>1065500</v>
      </c>
      <c r="AC61" s="242">
        <v>45.22</v>
      </c>
      <c r="AD61" s="2">
        <f t="shared" si="0"/>
        <v>1.0300000000000011</v>
      </c>
      <c r="AE61" s="137">
        <f t="shared" si="1"/>
        <v>1.8697904933543619E-2</v>
      </c>
    </row>
    <row r="62" spans="1:31" x14ac:dyDescent="0.25">
      <c r="W62" s="93">
        <v>42744</v>
      </c>
      <c r="X62" s="362">
        <v>44.14</v>
      </c>
      <c r="Y62" s="40">
        <v>44.7</v>
      </c>
      <c r="Z62" s="40">
        <v>43.9</v>
      </c>
      <c r="AA62" s="362">
        <v>44.39</v>
      </c>
      <c r="AB62" s="94">
        <v>855800</v>
      </c>
      <c r="AC62" s="242">
        <v>44.39</v>
      </c>
      <c r="AD62" s="2">
        <f t="shared" si="0"/>
        <v>0.80000000000000426</v>
      </c>
      <c r="AE62" s="137">
        <f t="shared" si="1"/>
        <v>3.1638418079096287E-3</v>
      </c>
    </row>
    <row r="63" spans="1:31" x14ac:dyDescent="0.25">
      <c r="W63" s="93">
        <v>42741</v>
      </c>
      <c r="X63" s="362">
        <v>44.75</v>
      </c>
      <c r="Y63" s="40">
        <v>44.92</v>
      </c>
      <c r="Z63" s="40">
        <v>44.06</v>
      </c>
      <c r="AA63" s="362">
        <v>44.25</v>
      </c>
      <c r="AB63" s="94">
        <v>932900</v>
      </c>
      <c r="AC63" s="242">
        <v>44.25</v>
      </c>
      <c r="AD63" s="2">
        <f t="shared" si="0"/>
        <v>0.85999999999999943</v>
      </c>
      <c r="AE63" s="137">
        <f t="shared" si="1"/>
        <v>-6.7340067340067034E-3</v>
      </c>
    </row>
    <row r="64" spans="1:31" x14ac:dyDescent="0.25">
      <c r="W64" s="93">
        <v>42740</v>
      </c>
      <c r="X64" s="362">
        <v>44.51</v>
      </c>
      <c r="Y64" s="40">
        <v>44.79</v>
      </c>
      <c r="Z64" s="40">
        <v>44.02</v>
      </c>
      <c r="AA64" s="362">
        <v>44.55</v>
      </c>
      <c r="AB64" s="94">
        <v>933700</v>
      </c>
      <c r="AC64" s="242">
        <v>44.55</v>
      </c>
      <c r="AD64" s="2">
        <f t="shared" si="0"/>
        <v>0.76999999999999602</v>
      </c>
      <c r="AE64" s="137">
        <f t="shared" si="1"/>
        <v>-4.9140049140050657E-3</v>
      </c>
    </row>
    <row r="65" spans="23:31" x14ac:dyDescent="0.25">
      <c r="W65" s="93">
        <v>42739</v>
      </c>
      <c r="X65" s="362">
        <v>43.1</v>
      </c>
      <c r="Y65" s="40">
        <v>44.89</v>
      </c>
      <c r="Z65" s="40">
        <v>42.78</v>
      </c>
      <c r="AA65" s="362">
        <v>44.77</v>
      </c>
      <c r="AB65" s="94">
        <v>1852500</v>
      </c>
      <c r="AC65" s="242">
        <v>44.77</v>
      </c>
      <c r="AD65" s="2">
        <f t="shared" si="0"/>
        <v>2.1099999999999994</v>
      </c>
      <c r="AE65" s="137">
        <f t="shared" si="1"/>
        <v>4.6272493573264795E-2</v>
      </c>
    </row>
    <row r="66" spans="23:31" x14ac:dyDescent="0.25">
      <c r="W66" s="93">
        <v>42738</v>
      </c>
      <c r="X66" s="362">
        <v>43.13</v>
      </c>
      <c r="Y66" s="40">
        <v>43.87</v>
      </c>
      <c r="Z66" s="40">
        <v>42.64</v>
      </c>
      <c r="AA66" s="362">
        <v>42.79</v>
      </c>
      <c r="AB66" s="94">
        <v>1618500</v>
      </c>
      <c r="AC66" s="242">
        <v>42.79</v>
      </c>
      <c r="AD66" s="2">
        <f t="shared" si="0"/>
        <v>1.2299999999999969</v>
      </c>
      <c r="AE66" s="137">
        <f t="shared" si="1"/>
        <v>6.1133317658124131E-3</v>
      </c>
    </row>
    <row r="67" spans="23:31" x14ac:dyDescent="0.25">
      <c r="W67" s="93">
        <v>42734</v>
      </c>
      <c r="X67" s="362">
        <v>42.62</v>
      </c>
      <c r="Y67" s="40">
        <v>42.97</v>
      </c>
      <c r="Z67" s="40">
        <v>42.1</v>
      </c>
      <c r="AA67" s="362">
        <v>42.53</v>
      </c>
      <c r="AB67" s="94">
        <v>856900</v>
      </c>
      <c r="AC67" s="242">
        <v>42.53</v>
      </c>
      <c r="AD67" s="2">
        <f t="shared" si="0"/>
        <v>0.86999999999999744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01" priority="17">
      <formula>F28&gt;0</formula>
    </cfRule>
    <cfRule type="expression" dxfId="600" priority="18">
      <formula>F28&lt;0</formula>
    </cfRule>
  </conditionalFormatting>
  <conditionalFormatting sqref="F28 F33:F35">
    <cfRule type="expression" dxfId="599" priority="19">
      <formula>F28&gt;0</formula>
    </cfRule>
    <cfRule type="expression" dxfId="598" priority="20">
      <formula>F28&lt;0</formula>
    </cfRule>
  </conditionalFormatting>
  <conditionalFormatting sqref="H28 H33:H35">
    <cfRule type="expression" dxfId="597" priority="15">
      <formula>H28&gt;0</formula>
    </cfRule>
    <cfRule type="expression" dxfId="596" priority="16">
      <formula>H28&lt;0</formula>
    </cfRule>
  </conditionalFormatting>
  <conditionalFormatting sqref="F21:F27">
    <cfRule type="expression" dxfId="595" priority="13">
      <formula>F21&gt;0</formula>
    </cfRule>
    <cfRule type="expression" dxfId="594" priority="14">
      <formula>F21&lt;0</formula>
    </cfRule>
  </conditionalFormatting>
  <conditionalFormatting sqref="H21:H27">
    <cfRule type="expression" dxfId="593" priority="11">
      <formula>H21&gt;0</formula>
    </cfRule>
    <cfRule type="expression" dxfId="592" priority="12">
      <formula>H21&lt;0</formula>
    </cfRule>
  </conditionalFormatting>
  <conditionalFormatting sqref="Q8">
    <cfRule type="expression" dxfId="591" priority="7">
      <formula>Q8&gt;0</formula>
    </cfRule>
    <cfRule type="expression" dxfId="590" priority="8">
      <formula>Q8&lt;0</formula>
    </cfRule>
  </conditionalFormatting>
  <conditionalFormatting sqref="Q7">
    <cfRule type="expression" dxfId="589" priority="9">
      <formula>Q7&gt;0</formula>
    </cfRule>
    <cfRule type="expression" dxfId="588" priority="10">
      <formula>Q7&lt;0</formula>
    </cfRule>
  </conditionalFormatting>
  <conditionalFormatting sqref="F29:F32">
    <cfRule type="expression" dxfId="587" priority="5">
      <formula>F29&gt;0</formula>
    </cfRule>
    <cfRule type="expression" dxfId="586" priority="6">
      <formula>F29&lt;0</formula>
    </cfRule>
  </conditionalFormatting>
  <conditionalFormatting sqref="H29:H32">
    <cfRule type="expression" dxfId="585" priority="3">
      <formula>H29&gt;0</formula>
    </cfRule>
    <cfRule type="expression" dxfId="584" priority="4">
      <formula>H29&lt;0</formula>
    </cfRule>
  </conditionalFormatting>
  <conditionalFormatting sqref="M37">
    <cfRule type="expression" dxfId="583" priority="1">
      <formula>M37&gt;0</formula>
    </cfRule>
    <cfRule type="expression" dxfId="58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236.26</v>
      </c>
      <c r="Y2" s="40">
        <v>237.39</v>
      </c>
      <c r="Z2" s="40">
        <v>234.54</v>
      </c>
      <c r="AA2" s="362">
        <v>234.78</v>
      </c>
      <c r="AB2" s="94">
        <v>103725600</v>
      </c>
      <c r="AC2" s="242">
        <v>234.78</v>
      </c>
      <c r="AD2" s="2">
        <f>Y2-Z2</f>
        <v>2.8499999999999943</v>
      </c>
      <c r="AE2" s="137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233.87</v>
      </c>
      <c r="T3" s="120"/>
      <c r="W3" s="93">
        <v>42829</v>
      </c>
      <c r="X3" s="362">
        <v>235</v>
      </c>
      <c r="Y3" s="40">
        <v>235.58</v>
      </c>
      <c r="Z3" s="40">
        <v>234.56</v>
      </c>
      <c r="AA3" s="362">
        <v>235.48</v>
      </c>
      <c r="AB3" s="94">
        <v>56466200</v>
      </c>
      <c r="AC3" s="242">
        <v>235.48</v>
      </c>
      <c r="AD3" s="2">
        <f>Y3-Z3</f>
        <v>1.0200000000000102</v>
      </c>
      <c r="AE3" s="137">
        <f>AC3/AC4-1</f>
        <v>6.3740279607360506E-4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233.87</v>
      </c>
      <c r="R4" s="499">
        <v>-3.0000000000000001E-3</v>
      </c>
      <c r="T4" s="120"/>
      <c r="W4" s="93">
        <v>42828</v>
      </c>
      <c r="X4" s="362">
        <v>235.8</v>
      </c>
      <c r="Y4" s="40">
        <v>236.03</v>
      </c>
      <c r="Z4" s="40">
        <v>233.91</v>
      </c>
      <c r="AA4" s="362">
        <v>235.33</v>
      </c>
      <c r="AB4" s="94">
        <v>85546500</v>
      </c>
      <c r="AC4" s="242">
        <v>235.33</v>
      </c>
      <c r="AD4" s="2">
        <f t="shared" ref="AD4:AD67" si="0">Y4-Z4</f>
        <v>2.1200000000000045</v>
      </c>
      <c r="AE4" s="137">
        <f t="shared" ref="AE4:AE67" si="1">AC4/AC5-1</f>
        <v>-1.7392042080257575E-3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235.9</v>
      </c>
      <c r="Y5" s="40">
        <v>236.51</v>
      </c>
      <c r="Z5" s="40">
        <v>235.68</v>
      </c>
      <c r="AA5" s="362">
        <v>235.74</v>
      </c>
      <c r="AB5" s="94">
        <v>73733100</v>
      </c>
      <c r="AC5" s="242">
        <v>235.74</v>
      </c>
      <c r="AD5" s="2">
        <f t="shared" si="0"/>
        <v>0.82999999999998408</v>
      </c>
      <c r="AE5" s="137">
        <f t="shared" si="1"/>
        <v>-2.3276482288712153E-3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235.47</v>
      </c>
      <c r="Y6" s="40">
        <v>236.52</v>
      </c>
      <c r="Z6" s="40">
        <v>235.27</v>
      </c>
      <c r="AA6" s="362">
        <v>236.29</v>
      </c>
      <c r="AB6" s="94">
        <v>56737900</v>
      </c>
      <c r="AC6" s="242">
        <v>236.29</v>
      </c>
      <c r="AD6" s="2">
        <f t="shared" si="0"/>
        <v>1.25</v>
      </c>
      <c r="AE6" s="137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2">
        <v>234.99</v>
      </c>
      <c r="Y7" s="40">
        <v>235.81</v>
      </c>
      <c r="Z7" s="40">
        <v>234.73</v>
      </c>
      <c r="AA7" s="362">
        <v>235.54</v>
      </c>
      <c r="AB7" s="94">
        <v>61950400</v>
      </c>
      <c r="AC7" s="242">
        <v>235.54</v>
      </c>
      <c r="AD7" s="2">
        <f t="shared" si="0"/>
        <v>1.0800000000000125</v>
      </c>
      <c r="AE7" s="137">
        <f t="shared" si="1"/>
        <v>9.3489716131234246E-4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233.27</v>
      </c>
      <c r="Y8" s="40">
        <v>235.81</v>
      </c>
      <c r="Z8" s="40">
        <v>233.14</v>
      </c>
      <c r="AA8" s="362">
        <v>235.32</v>
      </c>
      <c r="AB8" s="94">
        <v>93483900</v>
      </c>
      <c r="AC8" s="242">
        <v>235.32</v>
      </c>
      <c r="AD8" s="2">
        <f t="shared" si="0"/>
        <v>2.6700000000000159</v>
      </c>
      <c r="AE8" s="137">
        <f t="shared" si="1"/>
        <v>7.276774248780038E-3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231.93</v>
      </c>
      <c r="Y9" s="40">
        <v>233.92</v>
      </c>
      <c r="Z9" s="40">
        <v>231.61</v>
      </c>
      <c r="AA9" s="362">
        <v>233.62</v>
      </c>
      <c r="AB9" s="94">
        <v>87454500</v>
      </c>
      <c r="AC9" s="242">
        <v>233.62</v>
      </c>
      <c r="AD9" s="2">
        <f t="shared" si="0"/>
        <v>2.3099999999999739</v>
      </c>
      <c r="AE9" s="137">
        <f t="shared" si="1"/>
        <v>-1.0262550243735902E-3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2">
        <v>234.38</v>
      </c>
      <c r="Y10" s="40">
        <v>235.04</v>
      </c>
      <c r="Z10" s="40">
        <v>232.96</v>
      </c>
      <c r="AA10" s="362">
        <v>233.86</v>
      </c>
      <c r="AB10" s="94">
        <v>112504900</v>
      </c>
      <c r="AC10" s="242">
        <v>233.86</v>
      </c>
      <c r="AD10" s="2">
        <f t="shared" si="0"/>
        <v>2.0799999999999841</v>
      </c>
      <c r="AE10" s="137">
        <f t="shared" si="1"/>
        <v>-7.2640259795742068E-4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234.28</v>
      </c>
      <c r="Y11" s="40">
        <v>235.34</v>
      </c>
      <c r="Z11" s="40">
        <v>233.6</v>
      </c>
      <c r="AA11" s="362">
        <v>234.03</v>
      </c>
      <c r="AB11" s="94">
        <v>100410300</v>
      </c>
      <c r="AC11" s="242">
        <v>234.03</v>
      </c>
      <c r="AD11" s="2">
        <f t="shared" si="0"/>
        <v>1.7400000000000091</v>
      </c>
      <c r="AE11" s="137">
        <f t="shared" si="1"/>
        <v>-1.0670991975414434E-3</v>
      </c>
      <c r="AK11" s="233"/>
      <c r="AN11" s="233"/>
    </row>
    <row r="12" spans="1:40" x14ac:dyDescent="0.25">
      <c r="W12" s="93">
        <v>42816</v>
      </c>
      <c r="X12" s="362">
        <v>233.77</v>
      </c>
      <c r="Y12" s="40">
        <v>234.61</v>
      </c>
      <c r="Z12" s="40">
        <v>233.05</v>
      </c>
      <c r="AA12" s="362">
        <v>234.28</v>
      </c>
      <c r="AB12" s="94">
        <v>97569200</v>
      </c>
      <c r="AC12" s="242">
        <v>234.28</v>
      </c>
      <c r="AD12" s="2">
        <f t="shared" si="0"/>
        <v>1.5600000000000023</v>
      </c>
      <c r="AE12" s="137">
        <f t="shared" si="1"/>
        <v>2.3531425148677343E-3</v>
      </c>
    </row>
    <row r="13" spans="1:40" x14ac:dyDescent="0.25">
      <c r="W13" s="93">
        <v>42815</v>
      </c>
      <c r="X13" s="362">
        <v>237.47</v>
      </c>
      <c r="Y13" s="40">
        <v>237.61</v>
      </c>
      <c r="Z13" s="40">
        <v>233.58</v>
      </c>
      <c r="AA13" s="362">
        <v>233.73</v>
      </c>
      <c r="AB13" s="94">
        <v>131809300</v>
      </c>
      <c r="AC13" s="242">
        <v>233.73</v>
      </c>
      <c r="AD13" s="2">
        <f t="shared" si="0"/>
        <v>4.0300000000000011</v>
      </c>
      <c r="AE13" s="137">
        <f t="shared" si="1"/>
        <v>-1.2839464459179828E-2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237.03</v>
      </c>
      <c r="Y14" s="40">
        <v>237.36</v>
      </c>
      <c r="Z14" s="40">
        <v>236.32</v>
      </c>
      <c r="AA14" s="362">
        <v>236.77</v>
      </c>
      <c r="AB14" s="94">
        <v>52537000</v>
      </c>
      <c r="AC14" s="242">
        <v>236.77</v>
      </c>
      <c r="AD14" s="2">
        <f t="shared" si="0"/>
        <v>1.0400000000000205</v>
      </c>
      <c r="AE14" s="137">
        <f t="shared" si="1"/>
        <v>-1.0969075644432502E-3</v>
      </c>
    </row>
    <row r="15" spans="1:40" x14ac:dyDescent="0.25">
      <c r="W15" s="93">
        <v>42811</v>
      </c>
      <c r="X15" s="362">
        <v>237.75</v>
      </c>
      <c r="Y15" s="40">
        <v>237.97</v>
      </c>
      <c r="Z15" s="40">
        <v>237.03</v>
      </c>
      <c r="AA15" s="362">
        <v>237.03</v>
      </c>
      <c r="AB15" s="94">
        <v>89002100</v>
      </c>
      <c r="AC15" s="242">
        <v>237.03</v>
      </c>
      <c r="AD15" s="2">
        <f t="shared" si="0"/>
        <v>0.93999999999999773</v>
      </c>
      <c r="AE15" s="137" t="e">
        <f t="shared" si="1"/>
        <v>#DIV/0!</v>
      </c>
      <c r="AK15" s="233"/>
      <c r="AN15" s="233"/>
    </row>
    <row r="16" spans="1:40" x14ac:dyDescent="0.25">
      <c r="W16" s="93">
        <v>42811</v>
      </c>
      <c r="X16" s="362" t="s">
        <v>566</v>
      </c>
      <c r="Y16" s="40"/>
      <c r="Z16" s="40"/>
      <c r="AA16" s="362"/>
      <c r="AB16" s="94"/>
      <c r="AC16" s="242"/>
      <c r="AD16" s="2">
        <f t="shared" si="0"/>
        <v>0</v>
      </c>
      <c r="AE16" s="137">
        <f t="shared" si="1"/>
        <v>-1</v>
      </c>
    </row>
    <row r="17" spans="1:40" x14ac:dyDescent="0.25">
      <c r="W17" s="93">
        <v>42810</v>
      </c>
      <c r="X17" s="362">
        <v>239.11</v>
      </c>
      <c r="Y17" s="40">
        <v>239.2</v>
      </c>
      <c r="Z17" s="40">
        <v>238.1</v>
      </c>
      <c r="AA17" s="362">
        <v>238.48</v>
      </c>
      <c r="AB17" s="94">
        <v>78344000</v>
      </c>
      <c r="AC17" s="242">
        <v>237.45</v>
      </c>
      <c r="AD17" s="2">
        <f t="shared" si="0"/>
        <v>1.0999999999999943</v>
      </c>
      <c r="AE17" s="137">
        <f t="shared" si="1"/>
        <v>-1.9335042663192192E-3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2">
        <v>237.56</v>
      </c>
      <c r="Y18" s="40">
        <v>239.44</v>
      </c>
      <c r="Z18" s="40">
        <v>237.29</v>
      </c>
      <c r="AA18" s="362">
        <v>238.95</v>
      </c>
      <c r="AB18" s="94">
        <v>96081800</v>
      </c>
      <c r="AC18" s="242">
        <v>237.91</v>
      </c>
      <c r="AD18" s="2">
        <f t="shared" si="0"/>
        <v>2.1500000000000057</v>
      </c>
      <c r="AE18" s="137">
        <f t="shared" si="1"/>
        <v>8.6488319837199068E-3</v>
      </c>
    </row>
    <row r="19" spans="1:40" x14ac:dyDescent="0.25">
      <c r="W19" s="93">
        <v>42808</v>
      </c>
      <c r="X19" s="362">
        <v>237.18</v>
      </c>
      <c r="Y19" s="40">
        <v>237.24</v>
      </c>
      <c r="Z19" s="40">
        <v>236.19</v>
      </c>
      <c r="AA19" s="362">
        <v>236.9</v>
      </c>
      <c r="AB19" s="94">
        <v>59880800</v>
      </c>
      <c r="AC19" s="242">
        <v>235.87</v>
      </c>
      <c r="AD19" s="2">
        <f t="shared" si="0"/>
        <v>1.0500000000000114</v>
      </c>
      <c r="AE19" s="137">
        <f t="shared" si="1"/>
        <v>-3.8432300025339483E-3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42807</v>
      </c>
      <c r="X20" s="362">
        <v>237.62</v>
      </c>
      <c r="Y20" s="40">
        <v>237.86</v>
      </c>
      <c r="Z20" s="40">
        <v>237.24</v>
      </c>
      <c r="AA20" s="362">
        <v>237.81</v>
      </c>
      <c r="AB20" s="94">
        <v>57256800</v>
      </c>
      <c r="AC20" s="242">
        <v>236.78</v>
      </c>
      <c r="AD20" s="2">
        <f t="shared" si="0"/>
        <v>0.62000000000000455</v>
      </c>
      <c r="AE20" s="137">
        <f t="shared" si="1"/>
        <v>5.0705653680394036E-4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42804</v>
      </c>
      <c r="X21" s="362">
        <v>237.97</v>
      </c>
      <c r="Y21" s="40">
        <v>238.02</v>
      </c>
      <c r="Z21" s="40">
        <v>236.59</v>
      </c>
      <c r="AA21" s="362">
        <v>237.69</v>
      </c>
      <c r="AB21" s="94">
        <v>81991700</v>
      </c>
      <c r="AC21" s="242">
        <v>236.66</v>
      </c>
      <c r="AD21" s="2">
        <f t="shared" si="0"/>
        <v>1.4300000000000068</v>
      </c>
      <c r="AE21" s="137">
        <f t="shared" si="1"/>
        <v>3.5194843743373561E-3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42803</v>
      </c>
      <c r="X22" s="362">
        <v>236.7</v>
      </c>
      <c r="Y22" s="40">
        <v>237.24</v>
      </c>
      <c r="Z22" s="40">
        <v>235.74</v>
      </c>
      <c r="AA22" s="362">
        <v>236.86</v>
      </c>
      <c r="AB22" s="94">
        <v>90683900</v>
      </c>
      <c r="AC22" s="242">
        <v>235.83</v>
      </c>
      <c r="AD22" s="2">
        <f t="shared" si="0"/>
        <v>1.5</v>
      </c>
      <c r="AE22" s="137">
        <f t="shared" si="1"/>
        <v>1.2312133820158166E-3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42802</v>
      </c>
      <c r="X23" s="362">
        <v>237.34</v>
      </c>
      <c r="Y23" s="40">
        <v>237.64</v>
      </c>
      <c r="Z23" s="40">
        <v>236.4</v>
      </c>
      <c r="AA23" s="362">
        <v>236.56</v>
      </c>
      <c r="AB23" s="94">
        <v>78168800</v>
      </c>
      <c r="AC23" s="242">
        <v>235.54</v>
      </c>
      <c r="AD23" s="2">
        <f t="shared" si="0"/>
        <v>1.2399999999999807</v>
      </c>
      <c r="AE23" s="137">
        <f t="shared" si="1"/>
        <v>-1.8222655422299727E-3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42801</v>
      </c>
      <c r="X24" s="362">
        <v>237.36</v>
      </c>
      <c r="Y24" s="40">
        <v>237.77</v>
      </c>
      <c r="Z24" s="40">
        <v>236.76</v>
      </c>
      <c r="AA24" s="362">
        <v>237</v>
      </c>
      <c r="AB24" s="94">
        <v>65103700</v>
      </c>
      <c r="AC24" s="242">
        <v>235.97</v>
      </c>
      <c r="AD24" s="2">
        <f t="shared" si="0"/>
        <v>1.0100000000000193</v>
      </c>
      <c r="AE24" s="137">
        <f t="shared" si="1"/>
        <v>-2.9998309954368807E-3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42800</v>
      </c>
      <c r="X25" s="362">
        <v>237.5</v>
      </c>
      <c r="Y25" s="40">
        <v>238.12</v>
      </c>
      <c r="Z25" s="40">
        <v>237.01</v>
      </c>
      <c r="AA25" s="362">
        <v>237.71</v>
      </c>
      <c r="AB25" s="94">
        <v>55391500</v>
      </c>
      <c r="AC25" s="242">
        <v>236.68</v>
      </c>
      <c r="AD25" s="2">
        <f t="shared" si="0"/>
        <v>1.1100000000000136</v>
      </c>
      <c r="AE25" s="137">
        <f t="shared" si="1"/>
        <v>-2.9908589241331995E-3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42797</v>
      </c>
      <c r="X26" s="362">
        <v>238.17</v>
      </c>
      <c r="Y26" s="40">
        <v>238.61</v>
      </c>
      <c r="Z26" s="40">
        <v>237.73</v>
      </c>
      <c r="AA26" s="362">
        <v>238.42</v>
      </c>
      <c r="AB26" s="94">
        <v>81974300</v>
      </c>
      <c r="AC26" s="242">
        <v>237.39</v>
      </c>
      <c r="AD26" s="2">
        <f t="shared" si="0"/>
        <v>0.88000000000002387</v>
      </c>
      <c r="AE26" s="137">
        <f t="shared" si="1"/>
        <v>6.3227111785524315E-4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42796</v>
      </c>
      <c r="X27" s="362">
        <v>239.56</v>
      </c>
      <c r="Y27" s="40">
        <v>239.57</v>
      </c>
      <c r="Z27" s="40">
        <v>238.21</v>
      </c>
      <c r="AA27" s="362">
        <v>238.27</v>
      </c>
      <c r="AB27" s="94">
        <v>70246000</v>
      </c>
      <c r="AC27" s="242">
        <v>237.24</v>
      </c>
      <c r="AD27" s="2">
        <f t="shared" si="0"/>
        <v>1.3599999999999852</v>
      </c>
      <c r="AE27" s="137">
        <f t="shared" si="1"/>
        <v>-6.2829856747926849E-3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42795</v>
      </c>
      <c r="X28" s="362">
        <v>238.39</v>
      </c>
      <c r="Y28" s="40">
        <v>240.32</v>
      </c>
      <c r="Z28" s="40">
        <v>238.37</v>
      </c>
      <c r="AA28" s="362">
        <v>239.78</v>
      </c>
      <c r="AB28" s="94">
        <v>149158200</v>
      </c>
      <c r="AC28" s="242">
        <v>238.74</v>
      </c>
      <c r="AD28" s="2">
        <f t="shared" si="0"/>
        <v>1.9499999999999886</v>
      </c>
      <c r="AE28" s="137">
        <f t="shared" si="1"/>
        <v>1.3973242726693647E-2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42794</v>
      </c>
      <c r="X29" s="362">
        <v>236.67</v>
      </c>
      <c r="Y29" s="40">
        <v>236.95</v>
      </c>
      <c r="Z29" s="40">
        <v>236.02</v>
      </c>
      <c r="AA29" s="362">
        <v>236.47</v>
      </c>
      <c r="AB29" s="94">
        <v>96961900</v>
      </c>
      <c r="AC29" s="242">
        <v>235.45</v>
      </c>
      <c r="AD29" s="2">
        <f t="shared" si="0"/>
        <v>0.9299999999999784</v>
      </c>
      <c r="AE29" s="137">
        <f t="shared" si="1"/>
        <v>-2.6685869196882983E-3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42793</v>
      </c>
      <c r="X30" s="362">
        <v>236.64</v>
      </c>
      <c r="Y30" s="40">
        <v>237.31</v>
      </c>
      <c r="Z30" s="40">
        <v>236.35</v>
      </c>
      <c r="AA30" s="362">
        <v>237.11</v>
      </c>
      <c r="AB30" s="94">
        <v>56515400</v>
      </c>
      <c r="AC30" s="242">
        <v>236.08</v>
      </c>
      <c r="AD30" s="2">
        <f t="shared" si="0"/>
        <v>0.96000000000000796</v>
      </c>
      <c r="AE30" s="137">
        <f t="shared" si="1"/>
        <v>1.5697255101607688E-3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42790</v>
      </c>
      <c r="X31" s="362">
        <v>235.46</v>
      </c>
      <c r="Y31" s="40">
        <v>236.79</v>
      </c>
      <c r="Z31" s="40">
        <v>235.41</v>
      </c>
      <c r="AA31" s="362">
        <v>236.74</v>
      </c>
      <c r="AB31" s="94">
        <v>82381600</v>
      </c>
      <c r="AC31" s="242">
        <v>235.71</v>
      </c>
      <c r="AD31" s="2">
        <f t="shared" si="0"/>
        <v>1.3799999999999955</v>
      </c>
      <c r="AE31" s="137">
        <f t="shared" si="1"/>
        <v>1.2318409650837747E-3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42789</v>
      </c>
      <c r="X32" s="362">
        <v>236.88</v>
      </c>
      <c r="Y32" s="40">
        <v>236.9</v>
      </c>
      <c r="Z32" s="40">
        <v>235.56</v>
      </c>
      <c r="AA32" s="362">
        <v>236.44</v>
      </c>
      <c r="AB32" s="94">
        <v>74615900</v>
      </c>
      <c r="AC32" s="242">
        <v>235.42</v>
      </c>
      <c r="AD32" s="2">
        <f t="shared" si="0"/>
        <v>1.3400000000000034</v>
      </c>
      <c r="AE32" s="137">
        <f t="shared" si="1"/>
        <v>6.800986142989629E-4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42788</v>
      </c>
      <c r="X33" s="362">
        <v>236.02</v>
      </c>
      <c r="Y33" s="40">
        <v>236.54</v>
      </c>
      <c r="Z33" s="40">
        <v>235.83</v>
      </c>
      <c r="AA33" s="362">
        <v>236.28</v>
      </c>
      <c r="AB33" s="94">
        <v>62115200</v>
      </c>
      <c r="AC33" s="242">
        <v>235.26</v>
      </c>
      <c r="AD33" s="2">
        <f t="shared" si="0"/>
        <v>0.70999999999997954</v>
      </c>
      <c r="AE33" s="137">
        <f t="shared" si="1"/>
        <v>-8.9183335456743951E-4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42787</v>
      </c>
      <c r="X34" s="362">
        <v>235.52</v>
      </c>
      <c r="Y34" s="40">
        <v>236.69</v>
      </c>
      <c r="Z34" s="40">
        <v>235.51</v>
      </c>
      <c r="AA34" s="362">
        <v>236.49</v>
      </c>
      <c r="AB34" s="94">
        <v>88946100</v>
      </c>
      <c r="AC34" s="242">
        <v>235.47</v>
      </c>
      <c r="AD34" s="2">
        <f t="shared" si="0"/>
        <v>1.1800000000000068</v>
      </c>
      <c r="AE34" s="137">
        <f t="shared" si="1"/>
        <v>5.9811167599437276E-3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42783</v>
      </c>
      <c r="X35" s="362">
        <v>233.95</v>
      </c>
      <c r="Y35" s="40">
        <v>235.09</v>
      </c>
      <c r="Z35" s="40">
        <v>233.93</v>
      </c>
      <c r="AA35" s="362">
        <v>235.09</v>
      </c>
      <c r="AB35" s="94">
        <v>77204100</v>
      </c>
      <c r="AC35" s="242">
        <v>234.07</v>
      </c>
      <c r="AD35" s="2">
        <f t="shared" si="0"/>
        <v>1.1599999999999966</v>
      </c>
      <c r="AE35" s="137">
        <f t="shared" si="1"/>
        <v>1.583226358579326E-3</v>
      </c>
    </row>
    <row r="36" spans="1:31" x14ac:dyDescent="0.25">
      <c r="W36" s="93">
        <v>42782</v>
      </c>
      <c r="X36" s="362">
        <v>234.95</v>
      </c>
      <c r="Y36" s="40">
        <v>235.16</v>
      </c>
      <c r="Z36" s="40">
        <v>233.85</v>
      </c>
      <c r="AA36" s="362">
        <v>234.72</v>
      </c>
      <c r="AB36" s="94">
        <v>84722400</v>
      </c>
      <c r="AC36" s="242">
        <v>233.7</v>
      </c>
      <c r="AD36" s="2">
        <f t="shared" si="0"/>
        <v>1.3100000000000023</v>
      </c>
      <c r="AE36" s="137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2">
        <v>233.45</v>
      </c>
      <c r="Y37" s="40">
        <v>235.14</v>
      </c>
      <c r="Z37" s="40">
        <v>233.39</v>
      </c>
      <c r="AA37" s="362">
        <v>234.92</v>
      </c>
      <c r="AB37" s="94">
        <v>86785800</v>
      </c>
      <c r="AC37" s="242">
        <v>233.9</v>
      </c>
      <c r="AD37" s="2">
        <f t="shared" si="0"/>
        <v>1.75</v>
      </c>
      <c r="AE37" s="137">
        <f t="shared" si="1"/>
        <v>5.200051570759312E-3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42780</v>
      </c>
      <c r="X38" s="362">
        <v>232.56</v>
      </c>
      <c r="Y38" s="40">
        <v>233.71</v>
      </c>
      <c r="Z38" s="40">
        <v>232.16</v>
      </c>
      <c r="AA38" s="362">
        <v>233.7</v>
      </c>
      <c r="AB38" s="94">
        <v>71109000</v>
      </c>
      <c r="AC38" s="242">
        <v>232.69</v>
      </c>
      <c r="AD38" s="2">
        <f t="shared" si="0"/>
        <v>1.5500000000000114</v>
      </c>
      <c r="AE38" s="137">
        <f t="shared" si="1"/>
        <v>4.0127718329305839E-3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2">
        <v>232.08</v>
      </c>
      <c r="Y39" s="40">
        <v>233.07</v>
      </c>
      <c r="Z39" s="40">
        <v>232.05</v>
      </c>
      <c r="AA39" s="362">
        <v>232.77</v>
      </c>
      <c r="AB39" s="94">
        <v>55182100</v>
      </c>
      <c r="AC39" s="242">
        <v>231.76</v>
      </c>
      <c r="AD39" s="2">
        <f t="shared" si="0"/>
        <v>1.0199999999999818</v>
      </c>
      <c r="AE39" s="137">
        <f t="shared" si="1"/>
        <v>5.4227582317469825E-3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257.25700000000001</v>
      </c>
      <c r="R40" s="34"/>
      <c r="T40" s="96" t="s">
        <v>98</v>
      </c>
      <c r="U40" s="128">
        <v>235.48</v>
      </c>
      <c r="W40" s="93">
        <v>42776</v>
      </c>
      <c r="X40" s="362">
        <v>231</v>
      </c>
      <c r="Y40" s="40">
        <v>231.77</v>
      </c>
      <c r="Z40" s="40">
        <v>230.62</v>
      </c>
      <c r="AA40" s="362">
        <v>231.51</v>
      </c>
      <c r="AB40" s="94">
        <v>66015900</v>
      </c>
      <c r="AC40" s="242">
        <v>230.51</v>
      </c>
      <c r="AD40" s="2">
        <f t="shared" si="0"/>
        <v>1.1500000000000057</v>
      </c>
      <c r="AE40" s="137">
        <f t="shared" si="1"/>
        <v>3.9634146341462895E-3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254.91830000000002</v>
      </c>
      <c r="R41" s="34"/>
      <c r="T41" s="86" t="s">
        <v>99</v>
      </c>
      <c r="U41" s="129">
        <v>236.26</v>
      </c>
      <c r="W41" s="93">
        <v>42775</v>
      </c>
      <c r="X41" s="362">
        <v>229.24</v>
      </c>
      <c r="Y41" s="40">
        <v>230.95</v>
      </c>
      <c r="Z41" s="40">
        <v>229.24</v>
      </c>
      <c r="AA41" s="362">
        <v>230.6</v>
      </c>
      <c r="AB41" s="94">
        <v>65955200</v>
      </c>
      <c r="AC41" s="242">
        <v>229.6</v>
      </c>
      <c r="AD41" s="2">
        <f t="shared" si="0"/>
        <v>1.7099999999999795</v>
      </c>
      <c r="AE41" s="137">
        <f t="shared" si="1"/>
        <v>5.9145673603504534E-3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252.57960000000003</v>
      </c>
      <c r="R42" s="34"/>
      <c r="T42" s="86" t="s">
        <v>100</v>
      </c>
      <c r="U42" s="129" t="s">
        <v>129</v>
      </c>
      <c r="W42" s="93">
        <v>42774</v>
      </c>
      <c r="X42" s="362">
        <v>228.94</v>
      </c>
      <c r="Y42" s="40">
        <v>229.39</v>
      </c>
      <c r="Z42" s="40">
        <v>228.31</v>
      </c>
      <c r="AA42" s="362">
        <v>229.24</v>
      </c>
      <c r="AB42" s="94">
        <v>51566200</v>
      </c>
      <c r="AC42" s="242">
        <v>228.25</v>
      </c>
      <c r="AD42" s="2">
        <f t="shared" si="0"/>
        <v>1.0799999999999841</v>
      </c>
      <c r="AE42" s="137">
        <f t="shared" si="1"/>
        <v>1.3160780872998323E-3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250.24090000000001</v>
      </c>
      <c r="R43" s="82"/>
      <c r="T43" s="86" t="s">
        <v>101</v>
      </c>
      <c r="U43" s="129" t="s">
        <v>129</v>
      </c>
      <c r="W43" s="93">
        <v>42773</v>
      </c>
      <c r="X43" s="362">
        <v>229.38</v>
      </c>
      <c r="Y43" s="40">
        <v>229.66</v>
      </c>
      <c r="Z43" s="40">
        <v>228.72</v>
      </c>
      <c r="AA43" s="362">
        <v>228.94</v>
      </c>
      <c r="AB43" s="94">
        <v>57931200</v>
      </c>
      <c r="AC43" s="242">
        <v>227.95</v>
      </c>
      <c r="AD43" s="2">
        <f t="shared" si="0"/>
        <v>0.93999999999999773</v>
      </c>
      <c r="AE43" s="137">
        <f t="shared" si="1"/>
        <v>4.3871194173927819E-5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247.90220000000002</v>
      </c>
      <c r="R44" s="82"/>
      <c r="T44" s="86" t="s">
        <v>332</v>
      </c>
      <c r="U44" s="129">
        <v>235.52</v>
      </c>
      <c r="W44" s="93">
        <v>42772</v>
      </c>
      <c r="X44" s="362">
        <v>228.87</v>
      </c>
      <c r="Y44" s="40">
        <v>229.33</v>
      </c>
      <c r="Z44" s="40">
        <v>228.54</v>
      </c>
      <c r="AA44" s="362">
        <v>228.93</v>
      </c>
      <c r="AB44" s="94">
        <v>57790100</v>
      </c>
      <c r="AC44" s="242">
        <v>227.94</v>
      </c>
      <c r="AD44" s="2">
        <f t="shared" si="0"/>
        <v>0.79000000000002046</v>
      </c>
      <c r="AE44" s="137">
        <f t="shared" si="1"/>
        <v>-1.7954893803371341E-3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245.5635</v>
      </c>
      <c r="R45" s="82"/>
      <c r="T45" s="86" t="s">
        <v>333</v>
      </c>
      <c r="U45" s="129" t="s">
        <v>511</v>
      </c>
      <c r="W45" s="93">
        <v>42769</v>
      </c>
      <c r="X45" s="362">
        <v>228.82</v>
      </c>
      <c r="Y45" s="40">
        <v>229.55</v>
      </c>
      <c r="Z45" s="40">
        <v>228.46</v>
      </c>
      <c r="AA45" s="362">
        <v>229.34</v>
      </c>
      <c r="AB45" s="94">
        <v>80563200</v>
      </c>
      <c r="AC45" s="242">
        <v>228.35</v>
      </c>
      <c r="AD45" s="2">
        <f t="shared" si="0"/>
        <v>1.0900000000000034</v>
      </c>
      <c r="AE45" s="137">
        <f t="shared" si="1"/>
        <v>6.9230090836933655E-3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243.22480000000002</v>
      </c>
      <c r="R46" s="82"/>
      <c r="T46" s="86" t="s">
        <v>334</v>
      </c>
      <c r="U46" s="231">
        <v>5.79E-2</v>
      </c>
      <c r="W46" s="93">
        <v>42768</v>
      </c>
      <c r="X46" s="362">
        <v>227.62</v>
      </c>
      <c r="Y46" s="40">
        <v>228.1</v>
      </c>
      <c r="Z46" s="40">
        <v>226.82</v>
      </c>
      <c r="AA46" s="362">
        <v>227.77</v>
      </c>
      <c r="AB46" s="94">
        <v>69657600</v>
      </c>
      <c r="AC46" s="242">
        <v>226.78</v>
      </c>
      <c r="AD46" s="2">
        <f t="shared" si="0"/>
        <v>1.2800000000000011</v>
      </c>
      <c r="AE46" s="137">
        <f t="shared" si="1"/>
        <v>6.6187177337506675E-4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240.8861</v>
      </c>
      <c r="R47" s="82"/>
      <c r="T47" s="86"/>
      <c r="U47" s="129"/>
      <c r="W47" s="93">
        <v>42767</v>
      </c>
      <c r="X47" s="362">
        <v>227.53</v>
      </c>
      <c r="Y47" s="40">
        <v>228.59</v>
      </c>
      <c r="Z47" s="40">
        <v>226.94</v>
      </c>
      <c r="AA47" s="362">
        <v>227.62</v>
      </c>
      <c r="AB47" s="94">
        <v>79117700</v>
      </c>
      <c r="AC47" s="242">
        <v>226.63</v>
      </c>
      <c r="AD47" s="2">
        <f t="shared" si="0"/>
        <v>1.6500000000000057</v>
      </c>
      <c r="AE47" s="137">
        <f t="shared" si="1"/>
        <v>3.9728083340695441E-4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238.54740000000001</v>
      </c>
      <c r="R48" s="82"/>
      <c r="T48" s="86" t="s">
        <v>105</v>
      </c>
      <c r="U48" s="129" t="s">
        <v>712</v>
      </c>
      <c r="W48" s="93">
        <v>42766</v>
      </c>
      <c r="X48" s="362">
        <v>226.98</v>
      </c>
      <c r="Y48" s="40">
        <v>227.6</v>
      </c>
      <c r="Z48" s="40">
        <v>226.32</v>
      </c>
      <c r="AA48" s="362">
        <v>227.53</v>
      </c>
      <c r="AB48" s="94">
        <v>75880800</v>
      </c>
      <c r="AC48" s="242">
        <v>226.54</v>
      </c>
      <c r="AD48" s="2">
        <f t="shared" si="0"/>
        <v>1.2800000000000011</v>
      </c>
      <c r="AE48" s="137">
        <f t="shared" si="1"/>
        <v>-8.8276836158196481E-5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236.20869999999999</v>
      </c>
      <c r="R49" s="82"/>
      <c r="T49" s="86" t="s">
        <v>106</v>
      </c>
      <c r="U49" s="129" t="s">
        <v>520</v>
      </c>
      <c r="W49" s="93">
        <v>42765</v>
      </c>
      <c r="X49" s="362">
        <v>228.17</v>
      </c>
      <c r="Y49" s="40">
        <v>228.2</v>
      </c>
      <c r="Z49" s="40">
        <v>226.41</v>
      </c>
      <c r="AA49" s="362">
        <v>227.55</v>
      </c>
      <c r="AB49" s="94">
        <v>79737300</v>
      </c>
      <c r="AC49" s="242">
        <v>226.56</v>
      </c>
      <c r="AD49" s="2">
        <f t="shared" si="0"/>
        <v>1.789999999999992</v>
      </c>
      <c r="AE49" s="137">
        <f t="shared" si="1"/>
        <v>-6.2286165453109277E-3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233.87</v>
      </c>
      <c r="R50" s="82"/>
      <c r="T50" s="86" t="s">
        <v>107</v>
      </c>
      <c r="U50" s="130">
        <v>108800604</v>
      </c>
      <c r="W50" s="93">
        <v>42762</v>
      </c>
      <c r="X50" s="362">
        <v>229.42</v>
      </c>
      <c r="Y50" s="40">
        <v>229.59</v>
      </c>
      <c r="Z50" s="40">
        <v>228.76</v>
      </c>
      <c r="AA50" s="362">
        <v>228.97</v>
      </c>
      <c r="AB50" s="94">
        <v>59711100</v>
      </c>
      <c r="AC50" s="242">
        <v>227.98</v>
      </c>
      <c r="AD50" s="2">
        <f t="shared" si="0"/>
        <v>0.83000000000001251</v>
      </c>
      <c r="AE50" s="137">
        <f t="shared" si="1"/>
        <v>-1.5765963037576158E-3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231.53130000000002</v>
      </c>
      <c r="R51" s="82"/>
      <c r="T51" s="86" t="s">
        <v>110</v>
      </c>
      <c r="U51" s="130">
        <v>76864400</v>
      </c>
      <c r="W51" s="93">
        <v>42761</v>
      </c>
      <c r="X51" s="362">
        <v>229.4</v>
      </c>
      <c r="Y51" s="40">
        <v>229.71</v>
      </c>
      <c r="Z51" s="40">
        <v>229.01</v>
      </c>
      <c r="AA51" s="362">
        <v>229.33</v>
      </c>
      <c r="AB51" s="94">
        <v>59970700</v>
      </c>
      <c r="AC51" s="242">
        <v>228.34</v>
      </c>
      <c r="AD51" s="2">
        <f t="shared" si="0"/>
        <v>0.70000000000001705</v>
      </c>
      <c r="AE51" s="137">
        <f t="shared" si="1"/>
        <v>-1.0499606264765537E-3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229.1926</v>
      </c>
      <c r="R52" s="82"/>
      <c r="T52" s="86" t="s">
        <v>335</v>
      </c>
      <c r="U52" s="129">
        <v>20</v>
      </c>
      <c r="W52" s="93">
        <v>42760</v>
      </c>
      <c r="X52" s="362">
        <v>228.7</v>
      </c>
      <c r="Y52" s="40">
        <v>229.57</v>
      </c>
      <c r="Z52" s="40">
        <v>228.51</v>
      </c>
      <c r="AA52" s="362">
        <v>229.57</v>
      </c>
      <c r="AB52" s="94">
        <v>84437700</v>
      </c>
      <c r="AC52" s="242">
        <v>228.58</v>
      </c>
      <c r="AD52" s="2">
        <f t="shared" si="0"/>
        <v>1.0600000000000023</v>
      </c>
      <c r="AE52" s="137">
        <f t="shared" si="1"/>
        <v>8.6933498080401517E-3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226.85390000000001</v>
      </c>
      <c r="R53" s="82"/>
      <c r="T53" s="86" t="s">
        <v>336</v>
      </c>
      <c r="U53" s="129">
        <v>1.92</v>
      </c>
      <c r="W53" s="93">
        <v>42759</v>
      </c>
      <c r="X53" s="362">
        <v>226.4</v>
      </c>
      <c r="Y53" s="40">
        <v>228.08</v>
      </c>
      <c r="Z53" s="40">
        <v>226.27</v>
      </c>
      <c r="AA53" s="362">
        <v>227.6</v>
      </c>
      <c r="AB53" s="94">
        <v>95555300</v>
      </c>
      <c r="AC53" s="242">
        <v>226.61</v>
      </c>
      <c r="AD53" s="2">
        <f t="shared" si="0"/>
        <v>1.8100000000000023</v>
      </c>
      <c r="AE53" s="137">
        <f t="shared" si="1"/>
        <v>6.3951680952170076E-3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224.51519999999999</v>
      </c>
      <c r="R54" s="82"/>
      <c r="T54" s="86"/>
      <c r="U54" s="129"/>
      <c r="W54" s="93">
        <v>42758</v>
      </c>
      <c r="X54" s="362">
        <v>226.74</v>
      </c>
      <c r="Y54" s="40">
        <v>226.81</v>
      </c>
      <c r="Z54" s="40">
        <v>225.27</v>
      </c>
      <c r="AA54" s="362">
        <v>226.15</v>
      </c>
      <c r="AB54" s="94">
        <v>75061600</v>
      </c>
      <c r="AC54" s="242">
        <v>225.17</v>
      </c>
      <c r="AD54" s="2">
        <f t="shared" si="0"/>
        <v>1.539999999999992</v>
      </c>
      <c r="AE54" s="137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222.1765</v>
      </c>
      <c r="R55" s="82"/>
      <c r="T55" s="86"/>
      <c r="U55" s="129"/>
      <c r="W55" s="93">
        <v>42755</v>
      </c>
      <c r="X55" s="362">
        <v>226.7</v>
      </c>
      <c r="Y55" s="40">
        <v>227.31</v>
      </c>
      <c r="Z55" s="40">
        <v>225.97</v>
      </c>
      <c r="AA55" s="362">
        <v>226.74</v>
      </c>
      <c r="AB55" s="94">
        <v>129168600</v>
      </c>
      <c r="AC55" s="242">
        <v>225.76</v>
      </c>
      <c r="AD55" s="2">
        <f t="shared" si="0"/>
        <v>1.3400000000000034</v>
      </c>
      <c r="AE55" s="137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219.83779999999999</v>
      </c>
      <c r="R56" s="82"/>
      <c r="W56" s="93">
        <v>42754</v>
      </c>
      <c r="X56" s="362">
        <v>226.84</v>
      </c>
      <c r="Y56" s="40">
        <v>227</v>
      </c>
      <c r="Z56" s="40">
        <v>225.41</v>
      </c>
      <c r="AA56" s="362">
        <v>225.91</v>
      </c>
      <c r="AB56" s="94">
        <v>66608800</v>
      </c>
      <c r="AC56" s="242">
        <v>224.93</v>
      </c>
      <c r="AD56" s="2">
        <f t="shared" si="0"/>
        <v>1.5900000000000034</v>
      </c>
      <c r="AE56" s="137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217.49910000000003</v>
      </c>
      <c r="R57" s="82"/>
      <c r="W57" s="93">
        <v>42753</v>
      </c>
      <c r="X57" s="362">
        <v>226.54</v>
      </c>
      <c r="Y57" s="40">
        <v>226.8</v>
      </c>
      <c r="Z57" s="40">
        <v>225.9</v>
      </c>
      <c r="AA57" s="362">
        <v>226.75</v>
      </c>
      <c r="AB57" s="94">
        <v>54793300</v>
      </c>
      <c r="AC57" s="242">
        <v>225.77</v>
      </c>
      <c r="AD57" s="2">
        <f t="shared" si="0"/>
        <v>0.90000000000000568</v>
      </c>
      <c r="AE57" s="137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215.16040000000001</v>
      </c>
      <c r="R58" s="82"/>
      <c r="W58" s="93">
        <v>42752</v>
      </c>
      <c r="X58" s="362">
        <v>226.31</v>
      </c>
      <c r="Y58" s="40">
        <v>226.78</v>
      </c>
      <c r="Z58" s="40">
        <v>225.8</v>
      </c>
      <c r="AA58" s="362">
        <v>226.25</v>
      </c>
      <c r="AB58" s="94">
        <v>61240800</v>
      </c>
      <c r="AC58" s="242">
        <v>225.27</v>
      </c>
      <c r="AD58" s="2">
        <f t="shared" si="0"/>
        <v>0.97999999999998977</v>
      </c>
      <c r="AE58" s="137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212.82170000000002</v>
      </c>
      <c r="R59" s="82"/>
      <c r="W59" s="93">
        <v>42748</v>
      </c>
      <c r="X59" s="362">
        <v>226.73</v>
      </c>
      <c r="Y59" s="40">
        <v>227.4</v>
      </c>
      <c r="Z59" s="40">
        <v>226.69</v>
      </c>
      <c r="AA59" s="362">
        <v>227.05</v>
      </c>
      <c r="AB59" s="94">
        <v>62717900</v>
      </c>
      <c r="AC59" s="242">
        <v>226.07</v>
      </c>
      <c r="AD59" s="2">
        <f t="shared" si="0"/>
        <v>0.71000000000000796</v>
      </c>
      <c r="AE59" s="137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210.483</v>
      </c>
      <c r="R60" s="82"/>
      <c r="W60" s="93">
        <v>42747</v>
      </c>
      <c r="X60" s="362">
        <v>226.5</v>
      </c>
      <c r="Y60" s="40">
        <v>226.75</v>
      </c>
      <c r="Z60" s="40">
        <v>224.96</v>
      </c>
      <c r="AA60" s="362">
        <v>226.53</v>
      </c>
      <c r="AB60" s="94">
        <v>72113200</v>
      </c>
      <c r="AC60" s="242">
        <v>225.55</v>
      </c>
      <c r="AD60" s="2">
        <f t="shared" si="0"/>
        <v>1.789999999999992</v>
      </c>
      <c r="AE60" s="137">
        <f t="shared" si="1"/>
        <v>-2.5207854236688476E-3</v>
      </c>
    </row>
    <row r="61" spans="1:31" x14ac:dyDescent="0.25">
      <c r="W61" s="93">
        <v>42746</v>
      </c>
      <c r="X61" s="362">
        <v>226.36</v>
      </c>
      <c r="Y61" s="40">
        <v>227.1</v>
      </c>
      <c r="Z61" s="40">
        <v>225.59</v>
      </c>
      <c r="AA61" s="362">
        <v>227.1</v>
      </c>
      <c r="AB61" s="94">
        <v>74650000</v>
      </c>
      <c r="AC61" s="242">
        <v>226.12</v>
      </c>
      <c r="AD61" s="2">
        <f t="shared" si="0"/>
        <v>1.5099999999999909</v>
      </c>
      <c r="AE61" s="137">
        <f t="shared" si="1"/>
        <v>2.8383892141210509E-3</v>
      </c>
    </row>
    <row r="62" spans="1:31" x14ac:dyDescent="0.25">
      <c r="W62" s="93">
        <v>42745</v>
      </c>
      <c r="X62" s="362">
        <v>226.48</v>
      </c>
      <c r="Y62" s="40">
        <v>227.45</v>
      </c>
      <c r="Z62" s="40">
        <v>226.01</v>
      </c>
      <c r="AA62" s="362">
        <v>226.46</v>
      </c>
      <c r="AB62" s="94">
        <v>63771900</v>
      </c>
      <c r="AC62" s="242">
        <v>225.48</v>
      </c>
      <c r="AD62" s="2">
        <f t="shared" si="0"/>
        <v>1.4399999999999977</v>
      </c>
      <c r="AE62" s="137">
        <f t="shared" si="1"/>
        <v>0</v>
      </c>
    </row>
    <row r="63" spans="1:31" x14ac:dyDescent="0.25">
      <c r="W63" s="93">
        <v>42744</v>
      </c>
      <c r="X63" s="362">
        <v>226.91</v>
      </c>
      <c r="Y63" s="40">
        <v>227.07</v>
      </c>
      <c r="Z63" s="40">
        <v>226.42</v>
      </c>
      <c r="AA63" s="362">
        <v>226.46</v>
      </c>
      <c r="AB63" s="94">
        <v>46265300</v>
      </c>
      <c r="AC63" s="242">
        <v>225.48</v>
      </c>
      <c r="AD63" s="2">
        <f t="shared" si="0"/>
        <v>0.65000000000000568</v>
      </c>
      <c r="AE63" s="137">
        <f t="shared" si="1"/>
        <v>-3.3152101843256787E-3</v>
      </c>
    </row>
    <row r="64" spans="1:31" x14ac:dyDescent="0.25">
      <c r="W64" s="93">
        <v>42741</v>
      </c>
      <c r="X64" s="362">
        <v>226.53</v>
      </c>
      <c r="Y64" s="40">
        <v>227.75</v>
      </c>
      <c r="Z64" s="40">
        <v>225.9</v>
      </c>
      <c r="AA64" s="362">
        <v>227.21</v>
      </c>
      <c r="AB64" s="94">
        <v>71559900</v>
      </c>
      <c r="AC64" s="242">
        <v>226.23</v>
      </c>
      <c r="AD64" s="2">
        <f t="shared" si="0"/>
        <v>1.8499999999999943</v>
      </c>
      <c r="AE64" s="137">
        <f t="shared" si="1"/>
        <v>3.5932925206281219E-3</v>
      </c>
    </row>
    <row r="65" spans="23:31" x14ac:dyDescent="0.25">
      <c r="W65" s="93">
        <v>42740</v>
      </c>
      <c r="X65" s="362">
        <v>226.27</v>
      </c>
      <c r="Y65" s="40">
        <v>226.58</v>
      </c>
      <c r="Z65" s="40">
        <v>225.48</v>
      </c>
      <c r="AA65" s="362">
        <v>226.4</v>
      </c>
      <c r="AB65" s="94">
        <v>78379000</v>
      </c>
      <c r="AC65" s="242">
        <v>225.42</v>
      </c>
      <c r="AD65" s="2">
        <f t="shared" si="0"/>
        <v>1.1000000000000227</v>
      </c>
      <c r="AE65" s="137">
        <f t="shared" si="1"/>
        <v>-7.9787234042560939E-4</v>
      </c>
    </row>
    <row r="66" spans="23:31" x14ac:dyDescent="0.25">
      <c r="W66" s="93">
        <v>42739</v>
      </c>
      <c r="X66" s="362">
        <v>225.62</v>
      </c>
      <c r="Y66" s="40">
        <v>226.75</v>
      </c>
      <c r="Z66" s="40">
        <v>225.61</v>
      </c>
      <c r="AA66" s="362">
        <v>226.58</v>
      </c>
      <c r="AB66" s="94">
        <v>78744400</v>
      </c>
      <c r="AC66" s="242">
        <v>225.6</v>
      </c>
      <c r="AD66" s="2">
        <f t="shared" si="0"/>
        <v>1.1399999999999864</v>
      </c>
      <c r="AE66" s="137">
        <f t="shared" si="1"/>
        <v>5.9752073486132318E-3</v>
      </c>
    </row>
    <row r="67" spans="23:31" x14ac:dyDescent="0.25">
      <c r="W67" s="93">
        <v>42738</v>
      </c>
      <c r="X67" s="362">
        <v>225.04</v>
      </c>
      <c r="Y67" s="40">
        <v>225.83</v>
      </c>
      <c r="Z67" s="40">
        <v>223.88</v>
      </c>
      <c r="AA67" s="362">
        <v>225.24</v>
      </c>
      <c r="AB67" s="94">
        <v>91366500</v>
      </c>
      <c r="AC67" s="242">
        <v>224.26</v>
      </c>
      <c r="AD67" s="2">
        <f t="shared" si="0"/>
        <v>1.9500000000000171</v>
      </c>
      <c r="AE67" s="137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2">
        <v>222.56</v>
      </c>
      <c r="AD68" s="2">
        <f>Y68-Z68</f>
        <v>2.1000000000000227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81" priority="19">
      <formula>F25&gt;0</formula>
    </cfRule>
    <cfRule type="expression" dxfId="5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79" priority="11">
      <formula>F28&gt;0</formula>
    </cfRule>
    <cfRule type="expression" dxfId="578" priority="12">
      <formula>F28&lt;0</formula>
    </cfRule>
  </conditionalFormatting>
  <conditionalFormatting sqref="F28:F35">
    <cfRule type="expression" dxfId="577" priority="13">
      <formula>F28&gt;0</formula>
    </cfRule>
    <cfRule type="expression" dxfId="576" priority="14">
      <formula>F28&lt;0</formula>
    </cfRule>
  </conditionalFormatting>
  <conditionalFormatting sqref="H25:H35">
    <cfRule type="expression" dxfId="575" priority="9">
      <formula>H25&gt;0</formula>
    </cfRule>
    <cfRule type="expression" dxfId="574" priority="10">
      <formula>H25&lt;0</formula>
    </cfRule>
  </conditionalFormatting>
  <conditionalFormatting sqref="F21:F24">
    <cfRule type="expression" dxfId="573" priority="7">
      <formula>F21&gt;0</formula>
    </cfRule>
    <cfRule type="expression" dxfId="572" priority="8">
      <formula>F21&lt;0</formula>
    </cfRule>
  </conditionalFormatting>
  <conditionalFormatting sqref="H21:H24">
    <cfRule type="expression" dxfId="571" priority="5">
      <formula>H21&gt;0</formula>
    </cfRule>
    <cfRule type="expression" dxfId="570" priority="6">
      <formula>H21&lt;0</formula>
    </cfRule>
  </conditionalFormatting>
  <conditionalFormatting sqref="Q8">
    <cfRule type="expression" dxfId="569" priority="1">
      <formula>Q8&gt;0</formula>
    </cfRule>
    <cfRule type="expression" dxfId="568" priority="2">
      <formula>Q8&lt;0</formula>
    </cfRule>
  </conditionalFormatting>
  <conditionalFormatting sqref="Q7">
    <cfRule type="expression" dxfId="567" priority="3">
      <formula>Q7&gt;0</formula>
    </cfRule>
    <cfRule type="expression" dxfId="5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2">
        <v>98.89</v>
      </c>
      <c r="AD2" s="2">
        <f>Y2-Z2</f>
        <v>1.9699999999999989</v>
      </c>
      <c r="AE2" s="137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99.03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2">
        <v>99.35</v>
      </c>
      <c r="AD3" s="2">
        <f>Y3-Z3</f>
        <v>2.5600000000000023</v>
      </c>
      <c r="AE3" s="137">
        <f>AC3/AC4-1</f>
        <v>1.6680311092918565E-2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99.03</v>
      </c>
      <c r="R4" s="499">
        <v>2.7000000000000001E-3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2">
        <v>97.72</v>
      </c>
      <c r="AD4" s="2">
        <f t="shared" ref="AD4:AD67" si="0">Y4-Z4</f>
        <v>1.5300000000000011</v>
      </c>
      <c r="AE4" s="137">
        <f t="shared" ref="AE4:AE66" si="1">AC4/AC5-1</f>
        <v>-2.6536027760768466E-3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2">
        <v>97.98</v>
      </c>
      <c r="AD5" s="2">
        <f t="shared" si="0"/>
        <v>0.78000000000000114</v>
      </c>
      <c r="AE5" s="137">
        <f t="shared" si="1"/>
        <v>-1.6303240269003316E-3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2">
        <v>98.14</v>
      </c>
      <c r="AD6" s="2">
        <f t="shared" si="0"/>
        <v>1.4399999999999977</v>
      </c>
      <c r="AE6" s="137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2">
        <v>97.23</v>
      </c>
      <c r="AD7" s="2">
        <f t="shared" si="0"/>
        <v>0.84999999999999432</v>
      </c>
      <c r="AE7" s="137">
        <f t="shared" si="1"/>
        <v>-7.1479628305932685E-3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2">
        <v>97.93</v>
      </c>
      <c r="AD8" s="2">
        <f t="shared" si="0"/>
        <v>2.1500000000000057</v>
      </c>
      <c r="AE8" s="137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2">
        <v>97.19</v>
      </c>
      <c r="AD9" s="2">
        <f t="shared" si="0"/>
        <v>2.3799999999999955</v>
      </c>
      <c r="AE9" s="137">
        <f t="shared" si="1"/>
        <v>-1.1305241521069043E-3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2">
        <v>97.3</v>
      </c>
      <c r="AD10" s="2">
        <f t="shared" si="0"/>
        <v>1.4699999999999989</v>
      </c>
      <c r="AE10" s="137">
        <f t="shared" si="1"/>
        <v>8.2901554404144484E-3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2">
        <v>96.5</v>
      </c>
      <c r="AD11" s="2">
        <f t="shared" si="0"/>
        <v>1.2600000000000051</v>
      </c>
      <c r="AE11" s="137">
        <f t="shared" si="1"/>
        <v>-2.4808765763902896E-3</v>
      </c>
      <c r="AK11" s="233"/>
      <c r="AN11" s="233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2">
        <v>96.74</v>
      </c>
      <c r="AD12" s="2">
        <f t="shared" si="0"/>
        <v>2.1899999999999977</v>
      </c>
      <c r="AE12" s="137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2">
        <v>95.52</v>
      </c>
      <c r="AD13" s="2">
        <f t="shared" si="0"/>
        <v>3.2999999999999972</v>
      </c>
      <c r="AE13" s="137">
        <f t="shared" si="1"/>
        <v>-2.7192178429575331E-2</v>
      </c>
      <c r="AK13" s="233"/>
      <c r="AN13" s="233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2">
        <v>98.19</v>
      </c>
      <c r="AD14" s="2">
        <f t="shared" si="0"/>
        <v>1.6599999999999966</v>
      </c>
      <c r="AE14" s="137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2">
        <v>97.93</v>
      </c>
      <c r="AD15" s="2">
        <f t="shared" si="0"/>
        <v>1.0999999999999943</v>
      </c>
      <c r="AE15" s="137">
        <f t="shared" si="1"/>
        <v>-1.8346753643868619E-3</v>
      </c>
      <c r="AK15" s="233"/>
      <c r="AN15" s="233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2">
        <v>98.11</v>
      </c>
      <c r="AD16" s="2">
        <f t="shared" si="0"/>
        <v>1.2199999999999989</v>
      </c>
      <c r="AE16" s="137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2">
        <v>99.11</v>
      </c>
      <c r="AD17" s="2">
        <f t="shared" si="0"/>
        <v>1.2599999999999909</v>
      </c>
      <c r="AE17" s="137">
        <f t="shared" si="1"/>
        <v>3.2391942504301774E-3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2">
        <v>98.79</v>
      </c>
      <c r="AD18" s="2">
        <f t="shared" si="0"/>
        <v>0.98999999999999488</v>
      </c>
      <c r="AE18" s="137">
        <f t="shared" si="1"/>
        <v>-2.5242326332794995E-3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2">
        <v>99.04</v>
      </c>
      <c r="AD19" s="2">
        <f t="shared" si="0"/>
        <v>1.2800000000000011</v>
      </c>
      <c r="AE19" s="137">
        <f t="shared" si="1"/>
        <v>8.7594214707680251E-3</v>
      </c>
      <c r="AK19" s="233"/>
      <c r="AN19" s="233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2">
        <v>98.18</v>
      </c>
      <c r="AD20" s="2">
        <f t="shared" si="0"/>
        <v>1.2000000000000028</v>
      </c>
      <c r="AE20" s="137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2">
        <v>97.14</v>
      </c>
      <c r="AD21" s="2">
        <f t="shared" si="0"/>
        <v>2.6099999999999994</v>
      </c>
      <c r="AE21" s="137">
        <f t="shared" si="1"/>
        <v>4.6540490226496534E-3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2">
        <v>96.69</v>
      </c>
      <c r="AD22" s="2">
        <f t="shared" si="0"/>
        <v>1.519999999999996</v>
      </c>
      <c r="AE22" s="137">
        <f t="shared" si="1"/>
        <v>1.7254076801683338E-2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2">
        <v>95.05</v>
      </c>
      <c r="AD23" s="2">
        <f t="shared" si="0"/>
        <v>1.2800000000000011</v>
      </c>
      <c r="AE23" s="137">
        <f t="shared" si="1"/>
        <v>-4.1906757464641453E-3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2">
        <v>95.45</v>
      </c>
      <c r="AD24" s="2">
        <f t="shared" si="0"/>
        <v>2.2799999999999869</v>
      </c>
      <c r="AE24" s="137">
        <f t="shared" si="1"/>
        <v>5.5836493889591665E-3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2">
        <v>94.92</v>
      </c>
      <c r="AD25" s="2">
        <f t="shared" si="0"/>
        <v>1.1599999999999966</v>
      </c>
      <c r="AE25" s="137">
        <f t="shared" si="1"/>
        <v>1.6884761502742318E-3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2">
        <v>94.76</v>
      </c>
      <c r="AD26" s="2">
        <f t="shared" si="0"/>
        <v>2.8599999999999994</v>
      </c>
      <c r="AE26" s="137">
        <f t="shared" si="1"/>
        <v>-2.0467231755220028E-2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2">
        <v>96.74</v>
      </c>
      <c r="AD27" s="2">
        <f t="shared" si="0"/>
        <v>2.7800000000000011</v>
      </c>
      <c r="AE27" s="137">
        <f t="shared" si="1"/>
        <v>2.0356502478641403E-2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2">
        <v>94.81</v>
      </c>
      <c r="AD28" s="2">
        <f t="shared" si="0"/>
        <v>1.8499999999999943</v>
      </c>
      <c r="AE28" s="137">
        <f t="shared" si="1"/>
        <v>-8.5747150475791178E-3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2">
        <v>95.63</v>
      </c>
      <c r="AD29" s="2">
        <f t="shared" si="0"/>
        <v>1.8300000000000125</v>
      </c>
      <c r="AE29" s="137">
        <f t="shared" si="1"/>
        <v>9.8204857444561533E-3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2">
        <v>94.7</v>
      </c>
      <c r="AD30" s="2">
        <f t="shared" si="0"/>
        <v>1.980000000000004</v>
      </c>
      <c r="AE30" s="137">
        <f t="shared" si="1"/>
        <v>-6.4001678732557021E-3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2">
        <v>95.31</v>
      </c>
      <c r="AD31" s="2">
        <f t="shared" si="0"/>
        <v>2.6400000000000006</v>
      </c>
      <c r="AE31" s="137">
        <f t="shared" si="1"/>
        <v>-1.4476269258608121E-2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2">
        <v>96.71</v>
      </c>
      <c r="AD32" s="2">
        <f t="shared" si="0"/>
        <v>1.1299999999999955</v>
      </c>
      <c r="AE32" s="137">
        <f t="shared" si="1"/>
        <v>1.4497255876566584E-3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2">
        <v>96.57</v>
      </c>
      <c r="AD33" s="2">
        <f t="shared" si="0"/>
        <v>1.8100000000000023</v>
      </c>
      <c r="AE33" s="137">
        <f t="shared" si="1"/>
        <v>2.2833419823560241E-3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2">
        <v>96.35</v>
      </c>
      <c r="AD34" s="2">
        <f t="shared" si="0"/>
        <v>4.75</v>
      </c>
      <c r="AE34" s="137">
        <f t="shared" si="1"/>
        <v>4.2410472790219478E-2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2">
        <v>92.43</v>
      </c>
      <c r="AD35" s="2">
        <f t="shared" si="0"/>
        <v>0.96000000000000796</v>
      </c>
      <c r="AE35" s="137">
        <f t="shared" si="1"/>
        <v>3.2562683165093809E-3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2">
        <v>92.13</v>
      </c>
      <c r="AD36" s="2">
        <f t="shared" si="0"/>
        <v>1.3599999999999994</v>
      </c>
      <c r="AE36" s="137">
        <f t="shared" si="1"/>
        <v>3.5947712418300526E-3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108.93300000000001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2">
        <v>91.8</v>
      </c>
      <c r="AD37" s="2">
        <f t="shared" si="0"/>
        <v>1.9500000000000028</v>
      </c>
      <c r="AE37" s="137">
        <f t="shared" si="1"/>
        <v>-8.9603800064773642E-3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107.9427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2">
        <v>92.63</v>
      </c>
      <c r="AD38" s="2">
        <f t="shared" si="0"/>
        <v>1.0300000000000011</v>
      </c>
      <c r="AE38" s="137">
        <f t="shared" si="1"/>
        <v>4.5548205183820745E-3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106.95240000000001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2">
        <v>92.21</v>
      </c>
      <c r="AD39" s="2">
        <f t="shared" si="0"/>
        <v>1.3400000000000034</v>
      </c>
      <c r="AE39" s="137">
        <f t="shared" si="1"/>
        <v>-2.8117227208824813E-3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105.96210000000001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2">
        <v>92.47</v>
      </c>
      <c r="AD40" s="2">
        <f t="shared" si="0"/>
        <v>1.8900000000000006</v>
      </c>
      <c r="AE40" s="137">
        <f t="shared" si="1"/>
        <v>8.5069255098702001E-3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104.9718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2">
        <v>91.69</v>
      </c>
      <c r="AD41" s="2">
        <f t="shared" si="0"/>
        <v>1.4000000000000057</v>
      </c>
      <c r="AE41" s="137">
        <f t="shared" si="1"/>
        <v>-9.8060579646985779E-4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103.98150000000001</v>
      </c>
      <c r="R42" s="82"/>
      <c r="T42" s="86" t="s">
        <v>100</v>
      </c>
      <c r="U42" s="129" t="s">
        <v>713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2">
        <v>91.78</v>
      </c>
      <c r="AD42" s="2">
        <f t="shared" si="0"/>
        <v>1.0300000000000011</v>
      </c>
      <c r="AE42" s="137">
        <f t="shared" si="1"/>
        <v>4.2674253200569723E-3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102.99120000000001</v>
      </c>
      <c r="R43" s="82"/>
      <c r="T43" s="86" t="s">
        <v>101</v>
      </c>
      <c r="U43" s="129" t="s">
        <v>714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2">
        <v>91.39</v>
      </c>
      <c r="AD43" s="2">
        <f t="shared" si="0"/>
        <v>0.87000000000000455</v>
      </c>
      <c r="AE43" s="137">
        <f t="shared" si="1"/>
        <v>-1.8567059851464229E-3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102.0009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2">
        <v>91.56</v>
      </c>
      <c r="AD44" s="2">
        <f t="shared" si="0"/>
        <v>1.0300000000000011</v>
      </c>
      <c r="AE44" s="137">
        <f t="shared" si="1"/>
        <v>4.9390846229833141E-3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101.0106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2">
        <v>91.11</v>
      </c>
      <c r="AD45" s="2">
        <f t="shared" si="0"/>
        <v>1.480000000000004</v>
      </c>
      <c r="AE45" s="137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100.02030000000001</v>
      </c>
      <c r="R46" s="82"/>
      <c r="T46" s="86" t="s">
        <v>122</v>
      </c>
      <c r="U46" s="93" t="s">
        <v>397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2">
        <v>91.74</v>
      </c>
      <c r="AD46" s="2">
        <f t="shared" si="0"/>
        <v>3.1799999999999926</v>
      </c>
      <c r="AE46" s="137">
        <f t="shared" si="1"/>
        <v>0</v>
      </c>
    </row>
    <row r="47" spans="1:31" x14ac:dyDescent="0.25">
      <c r="O47" s="2"/>
      <c r="P47" s="82">
        <v>1</v>
      </c>
      <c r="Q47" s="82">
        <f t="shared" si="5"/>
        <v>99.03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2">
        <v>91.74</v>
      </c>
      <c r="AD47" s="2">
        <f t="shared" si="0"/>
        <v>2.2000000000000028</v>
      </c>
      <c r="AE47" s="137" t="e">
        <f t="shared" si="1"/>
        <v>#DIV/0!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98.039699999999996</v>
      </c>
      <c r="R48" s="82"/>
      <c r="T48" s="86" t="s">
        <v>105</v>
      </c>
      <c r="U48" s="129" t="s">
        <v>715</v>
      </c>
      <c r="W48" s="93">
        <v>42766</v>
      </c>
      <c r="X48" s="10" t="s">
        <v>328</v>
      </c>
      <c r="Y48" s="40"/>
      <c r="Z48" s="40"/>
      <c r="AA48" s="10"/>
      <c r="AB48" s="94"/>
      <c r="AC48" s="242"/>
      <c r="AD48" s="2">
        <f t="shared" si="0"/>
        <v>0</v>
      </c>
      <c r="AE48" s="137">
        <f t="shared" si="1"/>
        <v>-1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97.049400000000006</v>
      </c>
      <c r="R49" s="82"/>
      <c r="T49" s="86" t="s">
        <v>106</v>
      </c>
      <c r="U49" s="129" t="s">
        <v>716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2">
        <v>92.71</v>
      </c>
      <c r="AD49" s="2">
        <f t="shared" si="0"/>
        <v>2.8599999999999994</v>
      </c>
      <c r="AE49" s="137">
        <f t="shared" si="1"/>
        <v>1.0683527744467236E-2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96.059100000000001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2">
        <v>91.73</v>
      </c>
      <c r="AD50" s="2">
        <f t="shared" si="0"/>
        <v>1.1899999999999977</v>
      </c>
      <c r="AE50" s="137">
        <f t="shared" si="1"/>
        <v>1.0910293145250272E-2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95.068799999999996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2">
        <v>90.74</v>
      </c>
      <c r="AD51" s="2">
        <f t="shared" si="0"/>
        <v>1.7000000000000028</v>
      </c>
      <c r="AE51" s="137">
        <f t="shared" si="1"/>
        <v>-9.280489136368697E-3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94.078499999999991</v>
      </c>
      <c r="R52" s="82"/>
      <c r="T52" s="86" t="s">
        <v>108</v>
      </c>
      <c r="U52" s="129" t="s">
        <v>717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2">
        <v>91.59</v>
      </c>
      <c r="AD52" s="2">
        <f t="shared" si="0"/>
        <v>2.460000000000008</v>
      </c>
      <c r="AE52" s="137">
        <f t="shared" si="1"/>
        <v>-4.3482987281224794E-3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93.088200000000001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2">
        <v>91.99</v>
      </c>
      <c r="AD53" s="2">
        <f t="shared" si="0"/>
        <v>2.4299999999999926</v>
      </c>
      <c r="AE53" s="137">
        <f t="shared" si="1"/>
        <v>2.3248053392658452E-2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92.09790000000001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2">
        <v>89.9</v>
      </c>
      <c r="AD54" s="2">
        <f t="shared" si="0"/>
        <v>3.3499999999999943</v>
      </c>
      <c r="AE54" s="137">
        <f t="shared" si="1"/>
        <v>1.6968325791855143E-2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91.107600000000005</v>
      </c>
      <c r="R55" s="82"/>
      <c r="T55" s="86" t="s">
        <v>109</v>
      </c>
      <c r="U55" s="129" t="s">
        <v>597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2">
        <v>88.4</v>
      </c>
      <c r="AD55" s="2">
        <f t="shared" si="0"/>
        <v>4.210000000000008</v>
      </c>
      <c r="AE55" s="137">
        <f t="shared" si="1"/>
        <v>0.13014574277678359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90.1173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2">
        <v>78.22</v>
      </c>
      <c r="AD56" s="2">
        <f t="shared" si="0"/>
        <v>1.269999999999996</v>
      </c>
      <c r="AE56" s="137">
        <f t="shared" si="1"/>
        <v>-1.0249272428191847E-2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89.12700000000001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2">
        <v>79.03</v>
      </c>
      <c r="AD57" s="2">
        <f t="shared" si="0"/>
        <v>2.1099999999999994</v>
      </c>
      <c r="AE57" s="137">
        <f t="shared" si="1"/>
        <v>3.0915731802765523E-2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2">
        <v>76.66</v>
      </c>
      <c r="AD58" s="2">
        <f t="shared" si="0"/>
        <v>1.9400000000000119</v>
      </c>
      <c r="AE58" s="137">
        <f t="shared" si="1"/>
        <v>-1.8312203867332677E-2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2">
        <v>78.09</v>
      </c>
      <c r="AD59" s="2">
        <f t="shared" si="0"/>
        <v>1.7999999999999972</v>
      </c>
      <c r="AE59" s="137">
        <f t="shared" si="1"/>
        <v>2.0517511761630969E-2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2">
        <v>76.52</v>
      </c>
      <c r="AD60" s="2">
        <f t="shared" si="0"/>
        <v>2.2399999999999949</v>
      </c>
      <c r="AE60" s="137">
        <f t="shared" si="1"/>
        <v>-2.1107841883075462E-2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2">
        <v>78.17</v>
      </c>
      <c r="AD61" s="2">
        <f t="shared" si="0"/>
        <v>2.2099999999999937</v>
      </c>
      <c r="AE61" s="137">
        <f t="shared" si="1"/>
        <v>1.4141152049818473E-2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2">
        <v>77.08</v>
      </c>
      <c r="AD62" s="2">
        <f t="shared" si="0"/>
        <v>1.8599999999999994</v>
      </c>
      <c r="AE62" s="137">
        <f t="shared" si="1"/>
        <v>2.2010076902678311E-2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2">
        <v>75.42</v>
      </c>
      <c r="AD63" s="2">
        <f t="shared" si="0"/>
        <v>1.7299999999999898</v>
      </c>
      <c r="AE63" s="137">
        <f t="shared" si="1"/>
        <v>9.233239662786108E-3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2">
        <v>74.73</v>
      </c>
      <c r="AD64" s="2">
        <f t="shared" si="0"/>
        <v>1.1600000000000108</v>
      </c>
      <c r="AE64" s="137">
        <f t="shared" si="1"/>
        <v>5.1109616677875724E-3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2">
        <v>74.349999999999994</v>
      </c>
      <c r="AD65" s="2">
        <f t="shared" si="0"/>
        <v>1.4399999999999977</v>
      </c>
      <c r="AE65" s="137">
        <f t="shared" si="1"/>
        <v>-5.4842161583735782E-3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2">
        <v>74.760000000000005</v>
      </c>
      <c r="AD66" s="2">
        <f t="shared" si="0"/>
        <v>1.1599999999999966</v>
      </c>
      <c r="AE66" s="137">
        <f t="shared" si="1"/>
        <v>-2.1356113187399606E-3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2">
        <v>74.92</v>
      </c>
      <c r="AD67" s="2">
        <f t="shared" si="0"/>
        <v>1.8399999999999892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2">
        <v>74.44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65" priority="29">
      <formula>F40&gt;0</formula>
    </cfRule>
    <cfRule type="expression" dxfId="564" priority="30">
      <formula>F40&lt;0</formula>
    </cfRule>
  </conditionalFormatting>
  <conditionalFormatting sqref="F40:F45">
    <cfRule type="expression" dxfId="563" priority="31">
      <formula>F40&gt;0</formula>
    </cfRule>
    <cfRule type="expression" dxfId="562" priority="32">
      <formula>F40&lt;0</formula>
    </cfRule>
  </conditionalFormatting>
  <conditionalFormatting sqref="H40:H45">
    <cfRule type="expression" dxfId="561" priority="27">
      <formula>H40&gt;0</formula>
    </cfRule>
    <cfRule type="expression" dxfId="560" priority="28">
      <formula>H40&lt;0</formula>
    </cfRule>
  </conditionalFormatting>
  <conditionalFormatting sqref="F23:F39">
    <cfRule type="expression" dxfId="559" priority="13">
      <formula>F23&gt;0</formula>
    </cfRule>
    <cfRule type="expression" dxfId="558" priority="14">
      <formula>F23&lt;0</formula>
    </cfRule>
  </conditionalFormatting>
  <conditionalFormatting sqref="H23:H39">
    <cfRule type="expression" dxfId="557" priority="11">
      <formula>H23&gt;0</formula>
    </cfRule>
    <cfRule type="expression" dxfId="556" priority="12">
      <formula>H23&lt;0</formula>
    </cfRule>
  </conditionalFormatting>
  <conditionalFormatting sqref="Q7">
    <cfRule type="expression" dxfId="555" priority="9">
      <formula>Q7&gt;0</formula>
    </cfRule>
    <cfRule type="expression" dxfId="554" priority="10">
      <formula>Q7&lt;0</formula>
    </cfRule>
  </conditionalFormatting>
  <conditionalFormatting sqref="Q8">
    <cfRule type="expression" dxfId="553" priority="7">
      <formula>Q8&gt;0</formula>
    </cfRule>
    <cfRule type="expression" dxfId="552" priority="8">
      <formula>Q8&lt;0</formula>
    </cfRule>
  </conditionalFormatting>
  <conditionalFormatting sqref="Q10">
    <cfRule type="expression" dxfId="551" priority="1">
      <formula>Q10&gt;0</formula>
    </cfRule>
    <cfRule type="expression" dxfId="55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7">
        <f>AC2/AC3-1</f>
        <v>-5.2831211053913085E-3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73.56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7">
        <f t="shared" ref="AE3:AE66" si="1">AC3/AC4-1</f>
        <v>9.9876864140100441E-3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73.56</v>
      </c>
      <c r="R4" s="499">
        <v>-6.8999999999999999E-3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7">
        <f t="shared" si="1"/>
        <v>-1.136209928310572E-2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7">
        <f t="shared" si="1"/>
        <v>-4.0562466197924252E-4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7">
        <f t="shared" si="1"/>
        <v>2.4396855516399807E-3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7">
        <f t="shared" si="1"/>
        <v>-8.1256771397619776E-4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7">
        <f t="shared" si="1"/>
        <v>1.6519823788546217E-2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7">
        <f t="shared" si="1"/>
        <v>4.5636841377403314E-3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7">
        <f t="shared" si="1"/>
        <v>-1.7945886250689824E-3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7">
        <f t="shared" si="1"/>
        <v>9.4760312151616066E-3</v>
      </c>
      <c r="AL11" s="233"/>
      <c r="AO11" s="233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7">
        <f t="shared" si="1"/>
        <v>5.7463209530486115E-3</v>
      </c>
      <c r="AL12" s="233"/>
      <c r="AO12" s="233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7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7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7">
        <f t="shared" si="1"/>
        <v>-6.9242487190135371E-4</v>
      </c>
      <c r="AL15" s="233"/>
      <c r="AO15" s="233"/>
      <c r="AP15" s="233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7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7">
        <f t="shared" si="1"/>
        <v>1.8087492989343978E-2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7">
        <f t="shared" si="1"/>
        <v>-2.0464221947534833E-2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7">
        <f t="shared" si="1"/>
        <v>6.3579820317900548E-3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7">
        <f t="shared" si="1"/>
        <v>9.06555090655492E-3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7">
        <f t="shared" si="1"/>
        <v>2.0964360587003572E-3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7" t="e">
        <f t="shared" si="1"/>
        <v>#DIV/0!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521</v>
      </c>
      <c r="Y23" s="41"/>
      <c r="Z23" s="41"/>
      <c r="AA23" s="41"/>
      <c r="AB23" s="103"/>
      <c r="AC23" s="9"/>
      <c r="AD23" s="2">
        <f t="shared" si="0"/>
        <v>0</v>
      </c>
      <c r="AE23" s="137">
        <f t="shared" si="1"/>
        <v>-1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7">
        <f t="shared" si="1"/>
        <v>1.110494169905607E-3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7">
        <f t="shared" si="1"/>
        <v>4.7419804741981597E-3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7">
        <f t="shared" si="1"/>
        <v>1.5005662514156359E-2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7">
        <f t="shared" si="1"/>
        <v>-2.2598870056497189E-3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7">
        <f t="shared" si="1"/>
        <v>1.9144954656686419E-2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7">
        <f t="shared" si="1"/>
        <v>-1.7814223101937032E-2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7">
        <f t="shared" si="1"/>
        <v>7.9806184979336336E-3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7">
        <f t="shared" si="1"/>
        <v>-1.0156580617858624E-2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7">
        <f t="shared" si="1"/>
        <v>-1.3498469245755595E-2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7">
        <f t="shared" si="1"/>
        <v>2.9309141660851523E-3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7">
        <f t="shared" si="1"/>
        <v>4.063901345291665E-3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7">
        <f t="shared" si="1"/>
        <v>1.4033118158853775E-3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7">
        <f t="shared" si="1"/>
        <v>9.8328416912507599E-4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7">
        <f t="shared" si="1"/>
        <v>-5.615611399691911E-4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7">
        <f t="shared" si="1"/>
        <v>7.0244450688394799E-4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7">
        <f t="shared" si="1"/>
        <v>1.3382687927107284E-2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7">
        <f t="shared" si="1"/>
        <v>1.2103746397694293E-2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7">
        <f t="shared" si="1"/>
        <v>5.3599884108359586E-3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7">
        <f t="shared" si="1"/>
        <v>3.1972097078911688E-3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80.916000000000011</v>
      </c>
      <c r="T43" s="138" t="s">
        <v>98</v>
      </c>
      <c r="U43" s="139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7">
        <f t="shared" si="1"/>
        <v>7.1721311475412275E-3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80.180400000000006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7">
        <f t="shared" si="1"/>
        <v>-1.0285383166739215E-2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79.444800000000001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7">
        <f t="shared" si="1"/>
        <v>5.8283549468163276E-3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78.70920000000001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7">
        <f t="shared" si="1"/>
        <v>-2.1808665309683839E-3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77.973600000000005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7">
        <f t="shared" si="1"/>
        <v>-6.3565443513434738E-3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77.238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7">
        <f t="shared" si="1"/>
        <v>-3.5986756873470638E-3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76.502400000000009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7">
        <f t="shared" si="1"/>
        <v>-7.5714285714285623E-3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75.766800000000003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7">
        <f t="shared" si="1"/>
        <v>2.4344837462408897E-3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75.031199999999998</v>
      </c>
      <c r="Q51" s="2"/>
      <c r="T51" s="107" t="s">
        <v>105</v>
      </c>
      <c r="U51" s="105" t="s">
        <v>718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7">
        <f>AC51/AC52-1</f>
        <v>2.0088965418281202E-3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74.295600000000007</v>
      </c>
      <c r="Q52" s="2"/>
      <c r="T52" s="107" t="s">
        <v>106</v>
      </c>
      <c r="U52" s="105" t="s">
        <v>719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7">
        <f t="shared" si="1"/>
        <v>-1.6094875052943713E-2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73.56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7">
        <f t="shared" si="1"/>
        <v>1.214632752214917E-2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72.824399999999997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7">
        <f t="shared" si="1"/>
        <v>2.2916069894014512E-3</v>
      </c>
    </row>
    <row r="55" spans="1:42" x14ac:dyDescent="0.25">
      <c r="O55" s="82">
        <v>0.98</v>
      </c>
      <c r="P55" s="82">
        <f t="shared" si="2"/>
        <v>72.088800000000006</v>
      </c>
      <c r="T55" s="107" t="s">
        <v>108</v>
      </c>
      <c r="U55" s="105" t="s">
        <v>720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7">
        <f t="shared" si="1"/>
        <v>1.8823872756456916E-2</v>
      </c>
    </row>
    <row r="56" spans="1:42" x14ac:dyDescent="0.25">
      <c r="O56" s="82">
        <v>0.97</v>
      </c>
      <c r="P56" s="82">
        <f t="shared" si="2"/>
        <v>71.353200000000001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7">
        <f t="shared" si="1"/>
        <v>-1.3246940244780459E-2</v>
      </c>
    </row>
    <row r="57" spans="1:42" x14ac:dyDescent="0.25">
      <c r="O57" s="82">
        <v>0.96</v>
      </c>
      <c r="P57" s="82">
        <f t="shared" si="2"/>
        <v>70.617599999999996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7">
        <f t="shared" si="1"/>
        <v>-7.8571428571427848E-3</v>
      </c>
      <c r="AL57" s="233"/>
      <c r="AO57" s="233"/>
    </row>
    <row r="58" spans="1:42" x14ac:dyDescent="0.25">
      <c r="O58" s="82">
        <v>0.95</v>
      </c>
      <c r="P58" s="82">
        <f t="shared" si="2"/>
        <v>69.882000000000005</v>
      </c>
      <c r="T58" s="107" t="s">
        <v>109</v>
      </c>
      <c r="U58" s="105" t="s">
        <v>578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7">
        <f t="shared" si="1"/>
        <v>-9.9009900990099098E-3</v>
      </c>
    </row>
    <row r="59" spans="1:42" x14ac:dyDescent="0.25">
      <c r="O59" s="82">
        <v>0.94</v>
      </c>
      <c r="P59" s="82">
        <f t="shared" si="2"/>
        <v>69.1464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7">
        <f t="shared" si="1"/>
        <v>6.1192543048242953E-3</v>
      </c>
      <c r="AL59" s="233"/>
    </row>
    <row r="60" spans="1:42" x14ac:dyDescent="0.25">
      <c r="O60" s="82">
        <v>0.93</v>
      </c>
      <c r="P60" s="82">
        <f t="shared" si="2"/>
        <v>68.410800000000009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7">
        <f t="shared" si="1"/>
        <v>9.9715099715091959E-4</v>
      </c>
    </row>
    <row r="61" spans="1:42" x14ac:dyDescent="0.25">
      <c r="O61" s="82">
        <v>0.92</v>
      </c>
      <c r="P61" s="82">
        <f t="shared" si="2"/>
        <v>67.675200000000004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7">
        <f t="shared" si="1"/>
        <v>1.7391304347826209E-2</v>
      </c>
      <c r="AL61" s="233"/>
      <c r="AO61" s="233"/>
    </row>
    <row r="62" spans="1:42" x14ac:dyDescent="0.25">
      <c r="O62" s="82">
        <v>0.91</v>
      </c>
      <c r="P62" s="82">
        <f t="shared" si="2"/>
        <v>66.939599999999999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7">
        <f t="shared" si="1"/>
        <v>7.5934579439251859E-3</v>
      </c>
    </row>
    <row r="63" spans="1:42" x14ac:dyDescent="0.25">
      <c r="O63" s="82">
        <v>0.9</v>
      </c>
      <c r="P63" s="82">
        <f t="shared" si="2"/>
        <v>66.204000000000008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7">
        <f t="shared" si="1"/>
        <v>-5.0849920092982392E-3</v>
      </c>
      <c r="AL63" s="233"/>
      <c r="AO63" s="233"/>
      <c r="AP63" s="233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7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7">
        <f t="shared" si="1"/>
        <v>7.5768614308613369E-3</v>
      </c>
      <c r="AL65" s="233"/>
      <c r="AO65" s="233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7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7">
        <f>AC67/AC68-1</f>
        <v>-7.4504544777231896E-4</v>
      </c>
      <c r="AL67" s="233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49" priority="39">
      <formula>Q12&gt;0</formula>
    </cfRule>
    <cfRule type="expression" dxfId="54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47" priority="33">
      <formula>F25&gt;0</formula>
    </cfRule>
    <cfRule type="expression" dxfId="546" priority="34">
      <formula>F25&lt;0</formula>
    </cfRule>
  </conditionalFormatting>
  <conditionalFormatting sqref="F30">
    <cfRule type="expression" dxfId="545" priority="31">
      <formula>F30&gt;0</formula>
    </cfRule>
    <cfRule type="expression" dxfId="544" priority="32">
      <formula>F30&lt;0</formula>
    </cfRule>
  </conditionalFormatting>
  <conditionalFormatting sqref="F31">
    <cfRule type="expression" dxfId="543" priority="29">
      <formula>F31&gt;0</formula>
    </cfRule>
    <cfRule type="expression" dxfId="542" priority="30">
      <formula>F31&lt;0</formula>
    </cfRule>
  </conditionalFormatting>
  <conditionalFormatting sqref="F32:F34">
    <cfRule type="expression" dxfId="541" priority="27">
      <formula>F32&gt;0</formula>
    </cfRule>
    <cfRule type="expression" dxfId="540" priority="28">
      <formula>F32&lt;0</formula>
    </cfRule>
  </conditionalFormatting>
  <conditionalFormatting sqref="H25:H29">
    <cfRule type="expression" dxfId="539" priority="25">
      <formula>H25&gt;0</formula>
    </cfRule>
    <cfRule type="expression" dxfId="538" priority="26">
      <formula>H25&lt;0</formula>
    </cfRule>
  </conditionalFormatting>
  <conditionalFormatting sqref="H30">
    <cfRule type="expression" dxfId="537" priority="23">
      <formula>H30&gt;0</formula>
    </cfRule>
    <cfRule type="expression" dxfId="536" priority="24">
      <formula>H30&lt;0</formula>
    </cfRule>
  </conditionalFormatting>
  <conditionalFormatting sqref="H31">
    <cfRule type="expression" dxfId="535" priority="21">
      <formula>H31&gt;0</formula>
    </cfRule>
    <cfRule type="expression" dxfId="534" priority="22">
      <formula>H31&lt;0</formula>
    </cfRule>
  </conditionalFormatting>
  <conditionalFormatting sqref="H32:H34">
    <cfRule type="expression" dxfId="533" priority="19">
      <formula>H32&gt;0</formula>
    </cfRule>
    <cfRule type="expression" dxfId="532" priority="20">
      <formula>H32&lt;0</formula>
    </cfRule>
  </conditionalFormatting>
  <conditionalFormatting sqref="F35">
    <cfRule type="expression" dxfId="531" priority="17">
      <formula>F35&gt;0</formula>
    </cfRule>
    <cfRule type="expression" dxfId="530" priority="18">
      <formula>F35&lt;0</formula>
    </cfRule>
  </conditionalFormatting>
  <conditionalFormatting sqref="H35">
    <cfRule type="expression" dxfId="529" priority="15">
      <formula>H35&gt;0</formula>
    </cfRule>
    <cfRule type="expression" dxfId="528" priority="16">
      <formula>H35&lt;0</formula>
    </cfRule>
  </conditionalFormatting>
  <conditionalFormatting sqref="F36">
    <cfRule type="expression" dxfId="527" priority="13">
      <formula>F36&gt;0</formula>
    </cfRule>
    <cfRule type="expression" dxfId="526" priority="14">
      <formula>F36&lt;0</formula>
    </cfRule>
  </conditionalFormatting>
  <conditionalFormatting sqref="H36">
    <cfRule type="expression" dxfId="525" priority="11">
      <formula>H36&gt;0</formula>
    </cfRule>
    <cfRule type="expression" dxfId="524" priority="12">
      <formula>H36&lt;0</formula>
    </cfRule>
  </conditionalFormatting>
  <conditionalFormatting sqref="H23:H24">
    <cfRule type="expression" dxfId="523" priority="5">
      <formula>H23&gt;0</formula>
    </cfRule>
    <cfRule type="expression" dxfId="522" priority="6">
      <formula>H23&lt;0</formula>
    </cfRule>
  </conditionalFormatting>
  <conditionalFormatting sqref="F23:F24">
    <cfRule type="expression" dxfId="521" priority="7">
      <formula>F23&gt;0</formula>
    </cfRule>
    <cfRule type="expression" dxfId="520" priority="8">
      <formula>F23&lt;0</formula>
    </cfRule>
  </conditionalFormatting>
  <conditionalFormatting sqref="Q7">
    <cfRule type="expression" dxfId="519" priority="3">
      <formula>Q7&gt;0</formula>
    </cfRule>
    <cfRule type="expression" dxfId="518" priority="4">
      <formula>Q7&lt;0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550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7">
        <f>AC2/AC3-1</f>
        <v>-3.9855072463769181E-3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7">
        <f>AC3/AC4-1</f>
        <v>-5.2261668769147951E-3</v>
      </c>
      <c r="AN3" s="233"/>
    </row>
    <row r="4" spans="1:40" x14ac:dyDescent="0.25">
      <c r="B4" s="498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4"/>
      <c r="I4" s="3"/>
      <c r="J4" s="3"/>
      <c r="K4" s="3"/>
      <c r="L4" s="73"/>
      <c r="M4" s="4"/>
      <c r="O4" s="11" t="s">
        <v>66</v>
      </c>
      <c r="Q4" s="55">
        <v>52.45</v>
      </c>
      <c r="R4" s="499">
        <v>-5.1000000000000004E-3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7">
        <f t="shared" ref="AE4:AE66" si="1">AC4/AC5-1</f>
        <v>-3.0542579949693893E-3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6294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7">
        <f t="shared" si="1"/>
        <v>-1.0312944523470979E-2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7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749.6800000000012</v>
      </c>
      <c r="R7">
        <v>40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7">
        <f t="shared" si="1"/>
        <v>-5.1822730521801086E-3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-455.19999999999982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7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-6.7445030522135935E-2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7">
        <f t="shared" si="1"/>
        <v>-7.8810675264194829E-3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7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7">
        <f t="shared" si="1"/>
        <v>-1.4458702331465734E-3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7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7">
        <f t="shared" si="1"/>
        <v>-3.088669095956964E-2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7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7">
        <f t="shared" si="1"/>
        <v>-1.0957518543492917E-2</v>
      </c>
      <c r="AK15" s="233"/>
      <c r="AN15" s="233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7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7">
        <f t="shared" si="1"/>
        <v>-8.509189925118843E-4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7">
        <f t="shared" si="1"/>
        <v>1.0221465076660774E-3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7">
        <f t="shared" si="1"/>
        <v>-2.5488530161427159E-3</v>
      </c>
      <c r="AK19" s="233"/>
      <c r="AN19" s="233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7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7">
        <f t="shared" si="1"/>
        <v>8.4177976292734158E-3</v>
      </c>
      <c r="AK21" s="233"/>
      <c r="AN21" s="233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7">
        <f t="shared" si="1"/>
        <v>-1.5437392795882854E-3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7">
        <f t="shared" si="1"/>
        <v>-5.2891997952567715E-3</v>
      </c>
      <c r="AK23" s="233"/>
    </row>
    <row r="24" spans="1:40" x14ac:dyDescent="0.25">
      <c r="A24" s="476"/>
      <c r="B24" s="475">
        <v>42718</v>
      </c>
      <c r="C24" s="476">
        <v>40</v>
      </c>
      <c r="D24" s="65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7">
        <f t="shared" si="1"/>
        <v>-4.7546272711835869E-3</v>
      </c>
    </row>
    <row r="25" spans="1:40" x14ac:dyDescent="0.25">
      <c r="A25" s="476"/>
      <c r="B25" s="475">
        <v>42733</v>
      </c>
      <c r="C25" s="476">
        <v>80</v>
      </c>
      <c r="D25" s="65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7">
        <f t="shared" si="1"/>
        <v>3.0659172202349705E-3</v>
      </c>
    </row>
    <row r="26" spans="1:40" x14ac:dyDescent="0.25">
      <c r="A26" s="476"/>
      <c r="B26" s="475">
        <v>42740</v>
      </c>
      <c r="C26" s="476">
        <v>120</v>
      </c>
      <c r="D26" s="65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7">
        <f t="shared" si="1"/>
        <v>-1.7076845806127561E-2</v>
      </c>
    </row>
    <row r="27" spans="1:40" x14ac:dyDescent="0.25">
      <c r="A27" s="476" t="s">
        <v>359</v>
      </c>
      <c r="B27" s="475">
        <v>42754</v>
      </c>
      <c r="C27" s="476">
        <v>120</v>
      </c>
      <c r="D27" s="65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7">
        <f t="shared" si="1"/>
        <v>3.1962681409813287E-2</v>
      </c>
    </row>
    <row r="28" spans="1:40" x14ac:dyDescent="0.25">
      <c r="A28" s="476" t="s">
        <v>374</v>
      </c>
      <c r="B28" s="475">
        <v>42759</v>
      </c>
      <c r="C28" s="476">
        <v>80</v>
      </c>
      <c r="D28" s="65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7">
        <f t="shared" si="1"/>
        <v>-3.1002411298656218E-3</v>
      </c>
    </row>
    <row r="29" spans="1:40" x14ac:dyDescent="0.25">
      <c r="A29" s="476" t="s">
        <v>374</v>
      </c>
      <c r="B29" s="475">
        <v>42760</v>
      </c>
      <c r="C29" s="476">
        <v>80</v>
      </c>
      <c r="D29" s="65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7">
        <f t="shared" si="1"/>
        <v>4.3245113302197158E-3</v>
      </c>
    </row>
    <row r="30" spans="1:40" x14ac:dyDescent="0.25">
      <c r="A30" s="476" t="s">
        <v>409</v>
      </c>
      <c r="B30" s="475">
        <v>42767</v>
      </c>
      <c r="C30" s="476">
        <v>80</v>
      </c>
      <c r="D30" s="65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7">
        <f t="shared" si="1"/>
        <v>-1.1625918960506021E-2</v>
      </c>
    </row>
    <row r="31" spans="1:40" x14ac:dyDescent="0.25">
      <c r="A31" s="476" t="s">
        <v>426</v>
      </c>
      <c r="B31" s="475">
        <v>42771</v>
      </c>
      <c r="C31" s="476">
        <v>80</v>
      </c>
      <c r="D31" s="65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7">
        <f t="shared" si="1"/>
        <v>2.2275531185744768E-3</v>
      </c>
    </row>
    <row r="32" spans="1:40" x14ac:dyDescent="0.25">
      <c r="A32" s="476" t="s">
        <v>456</v>
      </c>
      <c r="B32" s="475">
        <v>42781</v>
      </c>
      <c r="C32" s="476">
        <v>40</v>
      </c>
      <c r="D32" s="65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7">
        <f t="shared" si="1"/>
        <v>1.8884120171673846E-3</v>
      </c>
    </row>
    <row r="33" spans="1:31" x14ac:dyDescent="0.25">
      <c r="A33" s="476" t="s">
        <v>374</v>
      </c>
      <c r="B33" s="475">
        <v>42782</v>
      </c>
      <c r="C33" s="476">
        <v>80</v>
      </c>
      <c r="D33" s="65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7">
        <f t="shared" si="1"/>
        <v>2.7543467033912528E-3</v>
      </c>
    </row>
    <row r="34" spans="1:31" x14ac:dyDescent="0.25">
      <c r="A34" s="613" t="s">
        <v>501</v>
      </c>
      <c r="B34" s="612">
        <v>42795</v>
      </c>
      <c r="C34" s="613">
        <v>80</v>
      </c>
      <c r="D34" s="686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87">
        <f t="shared" ref="H34" si="7">(E34-D34)/D34</f>
        <v>4.3045490264559443E-2</v>
      </c>
      <c r="I34" s="614">
        <v>57</v>
      </c>
      <c r="J34" s="614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7">
        <f t="shared" si="1"/>
        <v>-5.1617343427379225E-4</v>
      </c>
    </row>
    <row r="35" spans="1:31" x14ac:dyDescent="0.25">
      <c r="A35" s="613" t="s">
        <v>513</v>
      </c>
      <c r="B35" s="612">
        <v>42803</v>
      </c>
      <c r="C35" s="613">
        <v>40</v>
      </c>
      <c r="D35" s="686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87">
        <f t="shared" ref="H35:H36" si="10">(E35-D35)/D35</f>
        <v>2.5058936523181738E-2</v>
      </c>
      <c r="I35" s="614"/>
      <c r="J35" s="614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7">
        <f t="shared" si="1"/>
        <v>-7.3441502988897955E-3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7">
        <f t="shared" si="1"/>
        <v>9.830976198689223E-3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7">
        <f t="shared" si="1"/>
        <v>1.5767344078486234E-2</v>
      </c>
    </row>
    <row r="38" spans="1:31" x14ac:dyDescent="0.25">
      <c r="A38">
        <v>40</v>
      </c>
      <c r="B38" s="192">
        <v>42836</v>
      </c>
      <c r="C38" s="10">
        <v>120</v>
      </c>
      <c r="D38" s="199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30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7">
        <f t="shared" si="1"/>
        <v>3.8691523039042774E-3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7">
        <f t="shared" si="1"/>
        <v>2.2915564956813572E-3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57.695000000000007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7">
        <f t="shared" si="1"/>
        <v>1.9773503505302825E-2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7">P41*$Q$4</f>
        <v>57.170500000000004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7">
        <f t="shared" si="1"/>
        <v>-1.2602058927937532E-2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7"/>
        <v>56.646000000000008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7">
        <f t="shared" si="1"/>
        <v>-3.7135278514587311E-3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7"/>
        <v>56.121500000000005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7">
        <f t="shared" si="1"/>
        <v>-1.2572027239392436E-2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7"/>
        <v>55.597000000000008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7">
        <f t="shared" si="1"/>
        <v>2.7264573991031549E-2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7"/>
        <v>55.072500000000005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7">
        <f t="shared" si="1"/>
        <v>-2.8617420854945008E-3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7"/>
        <v>54.548000000000002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7" t="e">
        <f t="shared" si="1"/>
        <v>#DIV/0!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7"/>
        <v>54.023500000000006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7"/>
        <v>53.499000000000002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7">
        <f t="shared" si="1"/>
        <v>4.4883303411131781E-3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7"/>
        <v>52.974500000000006</v>
      </c>
      <c r="R49" s="82"/>
      <c r="T49" s="86" t="s">
        <v>104</v>
      </c>
      <c r="U49" s="88" t="s">
        <v>351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7">
        <f t="shared" si="1"/>
        <v>-9.0731186621597626E-3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7"/>
        <v>52.45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7">
        <f t="shared" si="1"/>
        <v>-1.021306568057756E-2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7"/>
        <v>51.9255</v>
      </c>
      <c r="R51" s="82"/>
      <c r="T51" s="86" t="s">
        <v>105</v>
      </c>
      <c r="U51" s="87" t="s">
        <v>721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7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51.401000000000003</v>
      </c>
      <c r="R52" s="82"/>
      <c r="T52" s="86" t="s">
        <v>106</v>
      </c>
      <c r="U52" s="87" t="s">
        <v>512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7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50.8765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7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50.352000000000004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7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49.827500000000001</v>
      </c>
      <c r="R55" s="82"/>
      <c r="T55" s="86" t="s">
        <v>108</v>
      </c>
      <c r="U55" s="87" t="s">
        <v>722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7">
        <f>AC55/AC56-1</f>
        <v>9.0389227079874512E-3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7"/>
        <v>49.302999999999997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7">
        <f t="shared" si="1"/>
        <v>5.7513914656772691E-3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8">C57*(E57-D57)</f>
        <v>-4.0000000000000568</v>
      </c>
      <c r="G57" s="379">
        <f t="shared" ref="G57:G79" si="19">D57*C57</f>
        <v>2020</v>
      </c>
      <c r="H57" s="380">
        <f t="shared" ref="H57:H79" si="20">(E57-D57)/D57</f>
        <v>-1.9801980198020084E-3</v>
      </c>
      <c r="I57" s="379"/>
      <c r="O57" s="2"/>
      <c r="P57" s="82">
        <v>0.93</v>
      </c>
      <c r="Q57" s="82">
        <f t="shared" si="17"/>
        <v>48.778500000000008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7">
        <f t="shared" si="1"/>
        <v>8.9853987270684943E-3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8"/>
        <v>-115.99999999999994</v>
      </c>
      <c r="G58" s="379">
        <f t="shared" si="19"/>
        <v>2020</v>
      </c>
      <c r="H58" s="380">
        <f t="shared" si="20"/>
        <v>-5.74257425742574E-2</v>
      </c>
      <c r="I58" s="379"/>
      <c r="O58" s="2"/>
      <c r="P58" s="82">
        <v>0.92</v>
      </c>
      <c r="Q58" s="82">
        <f t="shared" si="17"/>
        <v>48.254000000000005</v>
      </c>
      <c r="R58" s="82"/>
      <c r="T58" s="86" t="s">
        <v>109</v>
      </c>
      <c r="U58" s="87" t="s">
        <v>614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7">
        <f t="shared" si="1"/>
        <v>-2.7666545322169611E-2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8"/>
        <v>-56.200000000000045</v>
      </c>
      <c r="G59" s="379">
        <f t="shared" si="19"/>
        <v>2005</v>
      </c>
      <c r="H59" s="380">
        <f t="shared" si="20"/>
        <v>-2.8029925187032442E-2</v>
      </c>
      <c r="I59" s="379" t="s">
        <v>185</v>
      </c>
      <c r="O59" s="2"/>
      <c r="P59" s="82">
        <v>0.91</v>
      </c>
      <c r="Q59" s="82">
        <f t="shared" si="17"/>
        <v>47.729500000000002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7">
        <f t="shared" si="1"/>
        <v>1.4963975614261882E-2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8"/>
        <v>-22.199999999999989</v>
      </c>
      <c r="G60" s="379">
        <f t="shared" si="19"/>
        <v>2005</v>
      </c>
      <c r="H60" s="380">
        <f t="shared" si="20"/>
        <v>-1.1072319201995006E-2</v>
      </c>
      <c r="I60" s="379"/>
      <c r="O60" s="2"/>
      <c r="P60" s="82">
        <v>0.9</v>
      </c>
      <c r="Q60" s="82">
        <f t="shared" si="17"/>
        <v>47.205000000000005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7">
        <f t="shared" si="1"/>
        <v>-5.5116663604629634E-3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8"/>
        <v>-53.400000000000034</v>
      </c>
      <c r="G61" s="379">
        <f t="shared" si="19"/>
        <v>2005</v>
      </c>
      <c r="H61" s="380">
        <f t="shared" si="20"/>
        <v>-2.6633416458852886E-2</v>
      </c>
      <c r="I61" s="379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7">
        <f t="shared" si="1"/>
        <v>3.3179723502303471E-3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8"/>
        <v>-5.8000000000001251</v>
      </c>
      <c r="G62" s="379">
        <f t="shared" si="19"/>
        <v>2005</v>
      </c>
      <c r="H62" s="380">
        <f t="shared" si="20"/>
        <v>-2.8927680798005611E-3</v>
      </c>
      <c r="I62" s="379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7">
        <f t="shared" si="1"/>
        <v>7.054018934471884E-3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8"/>
        <v>-53.799999999999955</v>
      </c>
      <c r="G63" s="379">
        <f t="shared" si="19"/>
        <v>3900.2</v>
      </c>
      <c r="H63" s="380">
        <f t="shared" si="20"/>
        <v>-1.3794164401825536E-2</v>
      </c>
      <c r="I63" s="379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7">
        <f t="shared" si="1"/>
        <v>-1.4633254069873813E-2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8"/>
        <v>-134.5999999999998</v>
      </c>
      <c r="G64" s="379">
        <f t="shared" si="19"/>
        <v>3900.2</v>
      </c>
      <c r="H64" s="380">
        <f t="shared" si="20"/>
        <v>-3.451105071534788E-2</v>
      </c>
      <c r="I64" s="379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7">
        <f t="shared" si="1"/>
        <v>-2.5542784163473664E-3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8"/>
        <v>17.360000000000184</v>
      </c>
      <c r="G65" s="379">
        <f t="shared" si="19"/>
        <v>1943.84</v>
      </c>
      <c r="H65" s="380">
        <f t="shared" si="20"/>
        <v>8.9307761955717477E-3</v>
      </c>
      <c r="I65" s="379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7">
        <f t="shared" si="1"/>
        <v>-1.5448176755882836E-2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8"/>
        <v>17.3599999999999</v>
      </c>
      <c r="G66" s="379">
        <f t="shared" si="19"/>
        <v>3885.84</v>
      </c>
      <c r="H66" s="380">
        <f t="shared" si="20"/>
        <v>4.4675025219772044E-3</v>
      </c>
      <c r="I66" s="379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7">
        <f t="shared" si="1"/>
        <v>8.9895720963695247E-4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8"/>
        <v>163.75999999999976</v>
      </c>
      <c r="G67" s="379">
        <f t="shared" si="19"/>
        <v>3885.84</v>
      </c>
      <c r="H67" s="380">
        <f t="shared" si="20"/>
        <v>4.214275420501095E-2</v>
      </c>
      <c r="I67" s="379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8"/>
        <v>189.72000000000008</v>
      </c>
      <c r="G68" s="379">
        <f t="shared" si="19"/>
        <v>1847.08</v>
      </c>
      <c r="H68" s="380">
        <f t="shared" si="20"/>
        <v>0.10271347207484251</v>
      </c>
      <c r="I68" s="379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8"/>
        <v>150.91999999999985</v>
      </c>
      <c r="G69" s="379">
        <f t="shared" si="19"/>
        <v>3847.48</v>
      </c>
      <c r="H69" s="380">
        <f t="shared" si="20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8"/>
        <v>88.520000000000323</v>
      </c>
      <c r="G70" s="379">
        <f t="shared" si="19"/>
        <v>3847.48</v>
      </c>
      <c r="H70" s="380">
        <f t="shared" si="20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8"/>
        <v>88.824999999999719</v>
      </c>
      <c r="G71" s="379">
        <f t="shared" si="19"/>
        <v>5293.4750000000004</v>
      </c>
      <c r="H71" s="380">
        <f t="shared" si="20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8"/>
        <v>16.170000000000613</v>
      </c>
      <c r="G72" s="379">
        <f t="shared" si="19"/>
        <v>5293.53</v>
      </c>
      <c r="H72" s="380">
        <f t="shared" si="20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8"/>
        <v>-55.275000000000531</v>
      </c>
      <c r="G73" s="379">
        <f t="shared" si="19"/>
        <v>5293.4750000000004</v>
      </c>
      <c r="H73" s="380">
        <f t="shared" si="20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8"/>
        <v>122.07999999999998</v>
      </c>
      <c r="G74" s="379">
        <f t="shared" si="19"/>
        <v>3321.92</v>
      </c>
      <c r="H74" s="380">
        <f t="shared" si="20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8"/>
        <v>242.46000000000015</v>
      </c>
      <c r="G75" s="379">
        <f t="shared" si="19"/>
        <v>2307.54</v>
      </c>
      <c r="H75" s="380">
        <f t="shared" si="20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8"/>
        <v>237.75999999999954</v>
      </c>
      <c r="G76" s="379">
        <f t="shared" si="19"/>
        <v>3777.4400000000005</v>
      </c>
      <c r="H76" s="380">
        <f t="shared" si="20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8"/>
        <v>264.73000000000013</v>
      </c>
      <c r="G77" s="379">
        <f t="shared" si="19"/>
        <v>2259.77</v>
      </c>
      <c r="H77" s="380">
        <f t="shared" si="20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8"/>
        <v>152.12800000000016</v>
      </c>
      <c r="G78" s="379">
        <f t="shared" si="19"/>
        <v>3715.0720000000001</v>
      </c>
      <c r="H78" s="380">
        <f t="shared" si="20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8"/>
        <v>35.360000000000014</v>
      </c>
      <c r="G79" s="379">
        <f t="shared" si="19"/>
        <v>3715.04</v>
      </c>
      <c r="H79" s="380">
        <f t="shared" si="20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21">C80*(E80-D80)</f>
        <v>-27.040000000000077</v>
      </c>
      <c r="G80" s="379">
        <f t="shared" ref="G80:G98" si="22">D80*C80</f>
        <v>3715.04</v>
      </c>
      <c r="H80" s="380">
        <f t="shared" ref="H80:H98" si="23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21"/>
        <v>47.327999999999975</v>
      </c>
      <c r="G81" s="379">
        <f t="shared" si="22"/>
        <v>3715.0720000000001</v>
      </c>
      <c r="H81" s="380">
        <f t="shared" si="23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21"/>
        <v>-18.272000000000048</v>
      </c>
      <c r="G82" s="379">
        <f t="shared" si="22"/>
        <v>3715.0720000000001</v>
      </c>
      <c r="H82" s="380">
        <f t="shared" si="23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21"/>
        <v>131.32799999999975</v>
      </c>
      <c r="G83" s="379">
        <f t="shared" si="22"/>
        <v>3715.0720000000001</v>
      </c>
      <c r="H83" s="380">
        <f t="shared" si="23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21"/>
        <v>152.928</v>
      </c>
      <c r="G84" s="379">
        <f t="shared" si="22"/>
        <v>3715.0720000000001</v>
      </c>
      <c r="H84" s="380">
        <f t="shared" si="23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21"/>
        <v>105.63300000000041</v>
      </c>
      <c r="G85" s="379">
        <f t="shared" si="22"/>
        <v>5142.4669999999996</v>
      </c>
      <c r="H85" s="380">
        <f t="shared" si="23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21"/>
        <v>168.33300000000042</v>
      </c>
      <c r="G86" s="379">
        <f t="shared" si="22"/>
        <v>5142.4669999999996</v>
      </c>
      <c r="H86" s="380">
        <f t="shared" si="23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21"/>
        <v>178.23300000000003</v>
      </c>
      <c r="G87" s="379">
        <f t="shared" si="22"/>
        <v>5142.4669999999996</v>
      </c>
      <c r="H87" s="380">
        <f t="shared" si="23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21"/>
        <v>204.63300000000027</v>
      </c>
      <c r="G88" s="379">
        <f t="shared" si="22"/>
        <v>5142.4669999999996</v>
      </c>
      <c r="H88" s="380">
        <f t="shared" si="23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21"/>
        <v>170.53300000000002</v>
      </c>
      <c r="G89" s="379">
        <f t="shared" si="22"/>
        <v>5142.4669999999996</v>
      </c>
      <c r="H89" s="380">
        <f t="shared" si="23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21"/>
        <v>150.73300000000003</v>
      </c>
      <c r="G90" s="379">
        <f t="shared" si="22"/>
        <v>5142.4669999999996</v>
      </c>
      <c r="H90" s="380">
        <f t="shared" si="23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21"/>
        <v>104.53300000000063</v>
      </c>
      <c r="G91" s="379">
        <f t="shared" si="22"/>
        <v>5142.4669999999996</v>
      </c>
      <c r="H91" s="380">
        <f t="shared" si="23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21"/>
        <v>192.34399999999994</v>
      </c>
      <c r="G92" s="379">
        <f t="shared" si="22"/>
        <v>3682.056</v>
      </c>
      <c r="H92" s="380">
        <f t="shared" si="23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21"/>
        <v>200.31999999999982</v>
      </c>
      <c r="G93" s="379">
        <f t="shared" si="22"/>
        <v>3682.0800000000004</v>
      </c>
      <c r="H93" s="380">
        <f t="shared" si="23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21"/>
        <v>209.91999999999962</v>
      </c>
      <c r="G94" s="379">
        <f t="shared" si="22"/>
        <v>3682.0800000000004</v>
      </c>
      <c r="H94" s="380">
        <f t="shared" si="23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21"/>
        <v>190.71999999999946</v>
      </c>
      <c r="G95" s="379">
        <f t="shared" si="22"/>
        <v>3682.0800000000004</v>
      </c>
      <c r="H95" s="380">
        <f t="shared" si="23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21"/>
        <v>208.31999999999994</v>
      </c>
      <c r="G96" s="379">
        <f t="shared" si="22"/>
        <v>3682.0800000000004</v>
      </c>
      <c r="H96" s="380">
        <f t="shared" si="23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21"/>
        <v>188.31999999999994</v>
      </c>
      <c r="G97" s="379">
        <f t="shared" si="22"/>
        <v>3682.0800000000004</v>
      </c>
      <c r="H97" s="380">
        <f t="shared" si="23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21"/>
        <v>198.71999999999957</v>
      </c>
      <c r="G98" s="379">
        <f t="shared" si="22"/>
        <v>3682.0800000000004</v>
      </c>
      <c r="H98" s="380">
        <f t="shared" si="23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4">C103*(E103-D103)</f>
        <v>2.0000000000001705</v>
      </c>
      <c r="G103" s="261">
        <f t="shared" ref="G103:G116" si="25">D103*C103</f>
        <v>1858.8</v>
      </c>
      <c r="H103" s="275">
        <f t="shared" ref="H103:H116" si="26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4"/>
        <v>-41.599999999999966</v>
      </c>
      <c r="G104" s="261">
        <f t="shared" si="25"/>
        <v>1858.8</v>
      </c>
      <c r="H104" s="275">
        <f t="shared" si="26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4"/>
        <v>-18.400000000000034</v>
      </c>
      <c r="G105" s="261">
        <f t="shared" si="25"/>
        <v>1858.8</v>
      </c>
      <c r="H105" s="275">
        <f t="shared" si="26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4"/>
        <v>1.2000000000000455</v>
      </c>
      <c r="G106" s="261">
        <f t="shared" si="25"/>
        <v>1858.8</v>
      </c>
      <c r="H106" s="275">
        <f t="shared" si="26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4"/>
        <v>-25.600000000000023</v>
      </c>
      <c r="G107" s="261">
        <f t="shared" si="25"/>
        <v>1858.8</v>
      </c>
      <c r="H107" s="275">
        <f t="shared" si="26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4"/>
        <v>-60.399999999999636</v>
      </c>
      <c r="G108" s="261">
        <f t="shared" si="25"/>
        <v>3650.7999999999997</v>
      </c>
      <c r="H108" s="275">
        <f t="shared" si="26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4"/>
        <v>-144.39999999999998</v>
      </c>
      <c r="G109" s="261">
        <f t="shared" si="25"/>
        <v>3650.7999999999997</v>
      </c>
      <c r="H109" s="275">
        <f t="shared" si="26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4"/>
        <v>-51.599999999999682</v>
      </c>
      <c r="G110" s="261">
        <f t="shared" si="25"/>
        <v>3650.7999999999997</v>
      </c>
      <c r="H110" s="275">
        <f t="shared" si="26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4"/>
        <v>-36.399999999999864</v>
      </c>
      <c r="G111" s="261">
        <f t="shared" si="25"/>
        <v>3650.7999999999997</v>
      </c>
      <c r="H111" s="275">
        <f t="shared" si="26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4"/>
        <v>-24.399999999999977</v>
      </c>
      <c r="G112" s="261">
        <f t="shared" si="25"/>
        <v>3650.7999999999997</v>
      </c>
      <c r="H112" s="275">
        <f t="shared" si="26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4"/>
        <v>64.759999999999991</v>
      </c>
      <c r="G113" s="261">
        <f t="shared" si="25"/>
        <v>1791.6399999999999</v>
      </c>
      <c r="H113" s="275">
        <f t="shared" si="26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4"/>
        <v>-21.639999999999873</v>
      </c>
      <c r="G114" s="261">
        <f t="shared" si="25"/>
        <v>3589.64</v>
      </c>
      <c r="H114" s="275">
        <f t="shared" si="26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4"/>
        <v>378.31999999999994</v>
      </c>
      <c r="G115" s="261">
        <f t="shared" si="25"/>
        <v>1726.48</v>
      </c>
      <c r="H115" s="275">
        <f t="shared" si="26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4"/>
        <v>431.92000000000007</v>
      </c>
      <c r="G116" s="261">
        <f t="shared" si="25"/>
        <v>1711.2799999999997</v>
      </c>
      <c r="H116" s="275">
        <f t="shared" si="26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7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7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8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7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8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7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8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7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8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7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8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7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8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7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8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7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515" priority="61">
      <formula>F61&gt;0</formula>
    </cfRule>
    <cfRule type="expression" dxfId="514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13" priority="53">
      <formula>F64&gt;0</formula>
    </cfRule>
    <cfRule type="expression" dxfId="512" priority="54">
      <formula>F64&lt;0</formula>
    </cfRule>
  </conditionalFormatting>
  <conditionalFormatting sqref="F64:F92 F99:F101 F108:F119">
    <cfRule type="expression" dxfId="511" priority="55">
      <formula>F64&gt;0</formula>
    </cfRule>
    <cfRule type="expression" dxfId="510" priority="56">
      <formula>F64&lt;0</formula>
    </cfRule>
  </conditionalFormatting>
  <conditionalFormatting sqref="H61:H92 H99:H101 H108:H119">
    <cfRule type="expression" dxfId="509" priority="51">
      <formula>H61&gt;0</formula>
    </cfRule>
    <cfRule type="expression" dxfId="508" priority="52">
      <formula>H61&lt;0</formula>
    </cfRule>
  </conditionalFormatting>
  <conditionalFormatting sqref="F57:F60">
    <cfRule type="expression" dxfId="507" priority="37">
      <formula>F57&gt;0</formula>
    </cfRule>
    <cfRule type="expression" dxfId="506" priority="38">
      <formula>F57&lt;0</formula>
    </cfRule>
  </conditionalFormatting>
  <conditionalFormatting sqref="H57:H60">
    <cfRule type="expression" dxfId="505" priority="35">
      <formula>H57&gt;0</formula>
    </cfRule>
    <cfRule type="expression" dxfId="504" priority="36">
      <formula>H57&lt;0</formula>
    </cfRule>
  </conditionalFormatting>
  <conditionalFormatting sqref="Q8">
    <cfRule type="expression" dxfId="503" priority="31">
      <formula>Q8&gt;0</formula>
    </cfRule>
    <cfRule type="expression" dxfId="502" priority="32">
      <formula>Q8&lt;0</formula>
    </cfRule>
  </conditionalFormatting>
  <conditionalFormatting sqref="Q7">
    <cfRule type="expression" dxfId="501" priority="33">
      <formula>Q7&gt;0</formula>
    </cfRule>
    <cfRule type="expression" dxfId="500" priority="34">
      <formula>Q7&lt;0</formula>
    </cfRule>
  </conditionalFormatting>
  <conditionalFormatting sqref="F93:F98">
    <cfRule type="expression" dxfId="499" priority="27">
      <formula>F93&gt;0</formula>
    </cfRule>
    <cfRule type="expression" dxfId="498" priority="28">
      <formula>F93&lt;0</formula>
    </cfRule>
  </conditionalFormatting>
  <conditionalFormatting sqref="F93:F98">
    <cfRule type="expression" dxfId="497" priority="29">
      <formula>F93&gt;0</formula>
    </cfRule>
    <cfRule type="expression" dxfId="496" priority="30">
      <formula>F93&lt;0</formula>
    </cfRule>
  </conditionalFormatting>
  <conditionalFormatting sqref="H93:H98">
    <cfRule type="expression" dxfId="495" priority="25">
      <formula>H93&gt;0</formula>
    </cfRule>
    <cfRule type="expression" dxfId="494" priority="26">
      <formula>H93&lt;0</formula>
    </cfRule>
  </conditionalFormatting>
  <conditionalFormatting sqref="M122">
    <cfRule type="expression" dxfId="493" priority="21">
      <formula>M122&gt;0</formula>
    </cfRule>
    <cfRule type="expression" dxfId="492" priority="22">
      <formula>M122&lt;0</formula>
    </cfRule>
  </conditionalFormatting>
  <conditionalFormatting sqref="M122">
    <cfRule type="expression" dxfId="491" priority="23">
      <formula>M122&gt;0</formula>
    </cfRule>
    <cfRule type="expression" dxfId="490" priority="24">
      <formula>M122&lt;0</formula>
    </cfRule>
  </conditionalFormatting>
  <conditionalFormatting sqref="F103:F107">
    <cfRule type="expression" dxfId="489" priority="19">
      <formula>F103&gt;0</formula>
    </cfRule>
    <cfRule type="expression" dxfId="488" priority="20">
      <formula>F103&lt;0</formula>
    </cfRule>
  </conditionalFormatting>
  <conditionalFormatting sqref="H103:H107">
    <cfRule type="expression" dxfId="487" priority="17">
      <formula>H103&gt;0</formula>
    </cfRule>
    <cfRule type="expression" dxfId="486" priority="18">
      <formula>H103&lt;0</formula>
    </cfRule>
  </conditionalFormatting>
  <conditionalFormatting sqref="F24:F51">
    <cfRule type="expression" dxfId="485" priority="9">
      <formula>F24&gt;0</formula>
    </cfRule>
    <cfRule type="expression" dxfId="484" priority="10">
      <formula>F24&lt;0</formula>
    </cfRule>
  </conditionalFormatting>
  <conditionalFormatting sqref="F24:F51">
    <cfRule type="expression" dxfId="483" priority="11">
      <formula>F24&gt;0</formula>
    </cfRule>
    <cfRule type="expression" dxfId="482" priority="12">
      <formula>F24&lt;0</formula>
    </cfRule>
  </conditionalFormatting>
  <conditionalFormatting sqref="H24:H51">
    <cfRule type="expression" dxfId="481" priority="7">
      <formula>H24&gt;0</formula>
    </cfRule>
    <cfRule type="expression" dxfId="480" priority="8">
      <formula>H24&lt;0</formula>
    </cfRule>
  </conditionalFormatting>
  <conditionalFormatting sqref="J34">
    <cfRule type="expression" dxfId="479" priority="5">
      <formula>J34&gt;0</formula>
    </cfRule>
    <cfRule type="expression" dxfId="478" priority="6">
      <formula>J34&lt;0</formula>
    </cfRule>
  </conditionalFormatting>
  <conditionalFormatting sqref="J35">
    <cfRule type="expression" dxfId="477" priority="3">
      <formula>J35&gt;0</formula>
    </cfRule>
    <cfRule type="expression" dxfId="476" priority="4">
      <formula>J35&lt;0</formula>
    </cfRule>
  </conditionalFormatting>
  <conditionalFormatting sqref="J36:J47">
    <cfRule type="expression" dxfId="475" priority="1">
      <formula>J36&gt;0</formula>
    </cfRule>
    <cfRule type="expression" dxfId="474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7">
        <f>AC2/AC3-1</f>
        <v>-1.1101373064563158E-2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31.76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7">
        <f t="shared" ref="AE3:AE39" si="1">AC3/AC4-1</f>
        <v>2.9222676797191482E-4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31.76</v>
      </c>
      <c r="R4" s="499">
        <v>1.44E-2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7">
        <f t="shared" si="1"/>
        <v>-5.2325581395348264E-3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7">
        <f t="shared" si="1"/>
        <v>2.7172290235891294E-2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7">
        <f t="shared" si="1"/>
        <v>1.7623822546338763E-2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7">
        <f t="shared" si="1"/>
        <v>-3.0376670716902865E-4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7">
        <f t="shared" si="1"/>
        <v>1.3858946720049392E-2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7">
        <f t="shared" si="1"/>
        <v>-2.7641277641278217E-3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7">
        <f t="shared" si="1"/>
        <v>-2.2515761032722903E-2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7">
        <f t="shared" si="1"/>
        <v>-1.1279311368358469E-2</v>
      </c>
      <c r="AK11" s="233"/>
      <c r="AN11" s="233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7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7">
        <f t="shared" si="1"/>
        <v>-4.8137535816618948E-2</v>
      </c>
      <c r="AK13" s="233"/>
      <c r="AN13" s="233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7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7">
        <f t="shared" si="1"/>
        <v>-1.1588468061051516E-2</v>
      </c>
      <c r="AK15" s="233"/>
      <c r="AN15" s="233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7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7">
        <f t="shared" si="1"/>
        <v>2.7785902310617283E-2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7">
        <f t="shared" si="1"/>
        <v>-1.4697406340057784E-2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7">
        <f t="shared" si="1"/>
        <v>4.9232551404576608E-3</v>
      </c>
      <c r="AK19" s="233"/>
      <c r="AN19" s="233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7">
        <f t="shared" si="1"/>
        <v>-2.3472850678732948E-2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7">
        <f t="shared" si="1"/>
        <v>-1.7504862461795057E-2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7">
        <f t="shared" si="1"/>
        <v>5.3072625698324938E-3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7">
        <f t="shared" si="1"/>
        <v>-3.0598429461142773E-2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7">
        <f t="shared" si="1"/>
        <v>1.511819681143467E-2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7">
        <f t="shared" si="1"/>
        <v>1.4783821478382198E-2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7">
        <f t="shared" si="1"/>
        <v>-5.6330613319294565E-2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7">
        <f t="shared" si="1"/>
        <v>9.8294304712344571E-2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7">
        <f t="shared" si="1"/>
        <v>-5.4629097182288255E-3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7">
        <f t="shared" si="1"/>
        <v>8.7006960556845758E-3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7">
        <f t="shared" si="1"/>
        <v>4.6620046620045041E-3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7">
        <f t="shared" si="1"/>
        <v>-6.2295081967213117E-2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7">
        <f t="shared" si="1"/>
        <v>-2.9964587305910673E-3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7">
        <f t="shared" si="1"/>
        <v>1.3808340237503547E-2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7">
        <f t="shared" si="1"/>
        <v>-6.85682940208443E-3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7">
        <f t="shared" si="1"/>
        <v>-3.7232637972009375E-2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7">
        <f t="shared" si="1"/>
        <v>-1.7894190871369453E-2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7">
        <f t="shared" si="1"/>
        <v>2.0790020790022457E-3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7">
        <f t="shared" si="1"/>
        <v>4.6997389033942572E-3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7">
        <f t="shared" si="1"/>
        <v>2.3516835916622014E-2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34.936000000000007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34.618400000000001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34.300800000000002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33.983200000000004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33.665600000000005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33.348000000000006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33.0304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32.712800000000001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32.395200000000003</v>
      </c>
      <c r="R48" s="82"/>
      <c r="T48" s="86" t="s">
        <v>105</v>
      </c>
      <c r="U48" s="87" t="s">
        <v>723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32.077600000000004</v>
      </c>
      <c r="R49" s="82"/>
      <c r="T49" s="86" t="s">
        <v>106</v>
      </c>
      <c r="U49" s="87" t="s">
        <v>455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31.76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31.442400000000003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31.1248</v>
      </c>
      <c r="R52" s="82"/>
      <c r="T52" s="86" t="s">
        <v>108</v>
      </c>
      <c r="U52" s="87" t="s">
        <v>724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30.807200000000002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30.489599999999999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30.172000000000001</v>
      </c>
      <c r="R55" s="82"/>
      <c r="T55" s="86" t="s">
        <v>109</v>
      </c>
      <c r="U55" s="87" t="s">
        <v>567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29.854399999999998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29.536800000000003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29.219200000000004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28.901600000000002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28.584000000000003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73" priority="66">
      <formula>F22&gt;0</formula>
    </cfRule>
    <cfRule type="expression" dxfId="47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71" priority="53">
      <formula>F41&gt;0</formula>
    </cfRule>
    <cfRule type="expression" dxfId="470" priority="54">
      <formula>F41&lt;0</formula>
    </cfRule>
  </conditionalFormatting>
  <conditionalFormatting sqref="F41">
    <cfRule type="expression" dxfId="469" priority="57">
      <formula>F41&gt;0</formula>
    </cfRule>
    <cfRule type="expression" dxfId="468" priority="58">
      <formula>F41&lt;0</formula>
    </cfRule>
  </conditionalFormatting>
  <conditionalFormatting sqref="H41">
    <cfRule type="expression" dxfId="467" priority="35">
      <formula>H41&gt;0</formula>
    </cfRule>
    <cfRule type="expression" dxfId="466" priority="36">
      <formula>H41&lt;0</formula>
    </cfRule>
  </conditionalFormatting>
  <conditionalFormatting sqref="F89:F95">
    <cfRule type="expression" dxfId="465" priority="29">
      <formula>F89&gt;0</formula>
    </cfRule>
    <cfRule type="expression" dxfId="464" priority="30">
      <formula>F89&lt;0</formula>
    </cfRule>
  </conditionalFormatting>
  <conditionalFormatting sqref="F96:F110">
    <cfRule type="expression" dxfId="463" priority="25">
      <formula>F96&gt;0</formula>
    </cfRule>
    <cfRule type="expression" dxfId="462" priority="26">
      <formula>F96&lt;0</formula>
    </cfRule>
  </conditionalFormatting>
  <conditionalFormatting sqref="F96:F110">
    <cfRule type="expression" dxfId="461" priority="27">
      <formula>F96&gt;0</formula>
    </cfRule>
    <cfRule type="expression" dxfId="460" priority="28">
      <formula>F96&lt;0</formula>
    </cfRule>
  </conditionalFormatting>
  <conditionalFormatting sqref="H89:H100">
    <cfRule type="expression" dxfId="459" priority="23">
      <formula>H89&gt;0</formula>
    </cfRule>
    <cfRule type="expression" dxfId="458" priority="24">
      <formula>H89&lt;0</formula>
    </cfRule>
  </conditionalFormatting>
  <conditionalFormatting sqref="H101">
    <cfRule type="expression" dxfId="457" priority="21">
      <formula>H101&gt;0</formula>
    </cfRule>
    <cfRule type="expression" dxfId="456" priority="22">
      <formula>H101&lt;0</formula>
    </cfRule>
  </conditionalFormatting>
  <conditionalFormatting sqref="F111:F116">
    <cfRule type="expression" dxfId="455" priority="19">
      <formula>F111&gt;0</formula>
    </cfRule>
    <cfRule type="expression" dxfId="454" priority="20">
      <formula>F111&lt;0</formula>
    </cfRule>
  </conditionalFormatting>
  <conditionalFormatting sqref="H103:H116">
    <cfRule type="expression" dxfId="453" priority="17">
      <formula>H103&gt;0</formula>
    </cfRule>
    <cfRule type="expression" dxfId="452" priority="18">
      <formula>H103&lt;0</formula>
    </cfRule>
  </conditionalFormatting>
  <conditionalFormatting sqref="H102">
    <cfRule type="expression" dxfId="451" priority="15">
      <formula>H102&gt;0</formula>
    </cfRule>
    <cfRule type="expression" dxfId="450" priority="16">
      <formula>H102&lt;0</formula>
    </cfRule>
  </conditionalFormatting>
  <conditionalFormatting sqref="M42">
    <cfRule type="expression" dxfId="449" priority="13">
      <formula>M42&gt;0</formula>
    </cfRule>
    <cfRule type="expression" dxfId="448" priority="14">
      <formula>M42&lt;0</formula>
    </cfRule>
  </conditionalFormatting>
  <conditionalFormatting sqref="Q7">
    <cfRule type="expression" dxfId="447" priority="9">
      <formula>Q7&gt;0</formula>
    </cfRule>
    <cfRule type="expression" dxfId="446" priority="10">
      <formula>Q7&lt;0</formula>
    </cfRule>
  </conditionalFormatting>
  <conditionalFormatting sqref="Q8">
    <cfRule type="expression" dxfId="445" priority="7">
      <formula>Q8&gt;0</formula>
    </cfRule>
    <cfRule type="expression" dxfId="444" priority="8">
      <formula>Q8&lt;0</formula>
    </cfRule>
  </conditionalFormatting>
  <conditionalFormatting sqref="F117:F130 H117:H130">
    <cfRule type="expression" dxfId="443" priority="1">
      <formula>F117&gt;0</formula>
    </cfRule>
    <cfRule type="expression" dxfId="44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7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18.16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7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18.16</v>
      </c>
      <c r="R4" s="499">
        <v>-6.3899999999999998E-2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7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7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7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7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7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7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7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7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7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7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7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7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7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7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7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7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7">
        <f t="shared" si="1"/>
        <v>1.0147991543340451E-2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7">
        <f t="shared" si="1"/>
        <v>-4.2105263157895534E-3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7">
        <f t="shared" si="1"/>
        <v>1.2361466325660597E-2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7">
        <f t="shared" si="1"/>
        <v>7.2992700729928028E-3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7">
        <f t="shared" si="1"/>
        <v>-3.4231921266582033E-3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7">
        <f t="shared" si="1"/>
        <v>-4.2771599657820403E-4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7">
        <f t="shared" si="1"/>
        <v>-1.6820857863751093E-2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7">
        <f t="shared" si="1"/>
        <v>-3.3528918692371512E-3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7">
        <f t="shared" si="1"/>
        <v>-9.9585062240664657E-3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7">
        <f t="shared" si="1"/>
        <v>3.5668242372153047E-2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7">
        <f t="shared" si="1"/>
        <v>-4.2955326460492049E-4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7">
        <f t="shared" si="1"/>
        <v>-2.3489932885905951E-2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7">
        <f t="shared" si="1"/>
        <v>7.1820870299956763E-3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7">
        <f t="shared" si="1"/>
        <v>2.0698576972833171E-2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7">
        <f t="shared" si="1"/>
        <v>2.7925531914893664E-2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7">
        <f t="shared" si="1"/>
        <v>0.14692425012709687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7">
        <f t="shared" si="1"/>
        <v>3.0596634370221309E-3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7">
        <f t="shared" si="1"/>
        <v>4.4195953141640043E-2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7">
        <f t="shared" si="1"/>
        <v>-1.623886851754841E-2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7">
        <f t="shared" si="1"/>
        <v>1.7590618336886799E-2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7">
        <f t="shared" si="1"/>
        <v>1.6017084890549427E-3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7">
        <f t="shared" si="1"/>
        <v>1.6829533116178075E-2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7">
        <f t="shared" si="1"/>
        <v>6.0076460950302391E-3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7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7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19.976000000000003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7">
        <f t="shared" si="1"/>
        <v>-1.8888289260658442E-2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19.794400000000003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7">
        <f t="shared" si="1"/>
        <v>1.0804970286331095E-3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19.6128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7">
        <f t="shared" si="1"/>
        <v>3.4656232532140896E-2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19.4312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7">
        <f t="shared" si="1"/>
        <v>-1.7032967032966972E-2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19.249600000000001</v>
      </c>
      <c r="Q49" s="2"/>
      <c r="T49" s="92" t="s">
        <v>122</v>
      </c>
      <c r="U49" s="87" t="s">
        <v>452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7">
        <f t="shared" si="1"/>
        <v>-2.5174076057846939E-2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19.068000000000001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7">
        <f t="shared" si="1"/>
        <v>2.1470746108429584E-3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18.886400000000002</v>
      </c>
      <c r="Q51" s="2"/>
      <c r="T51" s="92" t="s">
        <v>105</v>
      </c>
      <c r="U51" s="87" t="s">
        <v>725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7">
        <f t="shared" si="1"/>
        <v>1.0746910263299547E-3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18.704800000000002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7">
        <f t="shared" si="1"/>
        <v>1.1413043478260887E-2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18.523199999999999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7">
        <f t="shared" si="1"/>
        <v>3.603603603603589E-2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18.3416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7">
        <f t="shared" si="1"/>
        <v>-3.9259674705550696E-3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18.16</v>
      </c>
      <c r="Q55" s="2"/>
      <c r="T55" s="92" t="s">
        <v>108</v>
      </c>
      <c r="U55" s="87" t="s">
        <v>726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7">
        <f t="shared" si="1"/>
        <v>-2.4617067833698214E-2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17.978400000000001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7">
        <f t="shared" si="1"/>
        <v>1.7250973845297946E-2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17.796800000000001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7">
        <f t="shared" si="1"/>
        <v>-7.1823204419890763E-3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17.615199999999998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7">
        <f t="shared" si="1"/>
        <v>-3.3039647577092213E-3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17.433599999999998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7">
        <f t="shared" si="1"/>
        <v>1.1699164345403856E-2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17.251999999999999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7">
        <f t="shared" si="1"/>
        <v>-1.4277869302581125E-2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17.070399999999999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7">
        <f t="shared" si="1"/>
        <v>2.2459292532285291E-2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16.8888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7">
        <f t="shared" si="1"/>
        <v>1.3083048919226403E-2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16.7072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7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16.525600000000001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7">
        <f t="shared" si="1"/>
        <v>6.6152149944873617E-3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16.344000000000001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7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7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41" priority="27">
      <formula>F27&gt;0</formula>
    </cfRule>
    <cfRule type="expression" dxfId="440" priority="28">
      <formula>F27&lt;0</formula>
    </cfRule>
  </conditionalFormatting>
  <conditionalFormatting sqref="F29:F33">
    <cfRule type="expression" dxfId="439" priority="23">
      <formula>F29&gt;0</formula>
    </cfRule>
    <cfRule type="expression" dxfId="438" priority="24">
      <formula>F29&lt;0</formula>
    </cfRule>
  </conditionalFormatting>
  <conditionalFormatting sqref="F29:F32">
    <cfRule type="expression" dxfId="437" priority="25">
      <formula>F29&gt;0</formula>
    </cfRule>
    <cfRule type="expression" dxfId="436" priority="26">
      <formula>F29&lt;0</formula>
    </cfRule>
  </conditionalFormatting>
  <conditionalFormatting sqref="H27:H33">
    <cfRule type="expression" dxfId="435" priority="21">
      <formula>H27&gt;0</formula>
    </cfRule>
    <cfRule type="expression" dxfId="434" priority="22">
      <formula>H27&lt;0</formula>
    </cfRule>
  </conditionalFormatting>
  <conditionalFormatting sqref="F34">
    <cfRule type="expression" dxfId="433" priority="19">
      <formula>F34&gt;0</formula>
    </cfRule>
    <cfRule type="expression" dxfId="432" priority="20">
      <formula>F34&lt;0</formula>
    </cfRule>
  </conditionalFormatting>
  <conditionalFormatting sqref="H34">
    <cfRule type="expression" dxfId="431" priority="17">
      <formula>H34&gt;0</formula>
    </cfRule>
    <cfRule type="expression" dxfId="430" priority="18">
      <formula>H34&lt;0</formula>
    </cfRule>
  </conditionalFormatting>
  <conditionalFormatting sqref="F36:F43">
    <cfRule type="expression" dxfId="429" priority="15">
      <formula>F36&gt;0</formula>
    </cfRule>
    <cfRule type="expression" dxfId="428" priority="16">
      <formula>F36&lt;0</formula>
    </cfRule>
  </conditionalFormatting>
  <conditionalFormatting sqref="H36:H43">
    <cfRule type="expression" dxfId="427" priority="13">
      <formula>H36&gt;0</formula>
    </cfRule>
    <cfRule type="expression" dxfId="426" priority="14">
      <formula>H36&lt;0</formula>
    </cfRule>
  </conditionalFormatting>
  <conditionalFormatting sqref="F35">
    <cfRule type="expression" dxfId="425" priority="11">
      <formula>F35&gt;0</formula>
    </cfRule>
    <cfRule type="expression" dxfId="424" priority="12">
      <formula>F35&lt;0</formula>
    </cfRule>
  </conditionalFormatting>
  <conditionalFormatting sqref="H35">
    <cfRule type="expression" dxfId="423" priority="9">
      <formula>H35&gt;0</formula>
    </cfRule>
    <cfRule type="expression" dxfId="422" priority="10">
      <formula>H35&lt;0</formula>
    </cfRule>
  </conditionalFormatting>
  <conditionalFormatting sqref="F22:F26">
    <cfRule type="expression" dxfId="421" priority="7">
      <formula>F22&gt;0</formula>
    </cfRule>
    <cfRule type="expression" dxfId="420" priority="8">
      <formula>F22&lt;0</formula>
    </cfRule>
  </conditionalFormatting>
  <conditionalFormatting sqref="H22:H26">
    <cfRule type="expression" dxfId="419" priority="5">
      <formula>H22&gt;0</formula>
    </cfRule>
    <cfRule type="expression" dxfId="418" priority="6">
      <formula>H22&lt;0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 t="shared" ref="F2:F7" si="0"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7"/>
    </row>
    <row r="3" spans="1:31" x14ac:dyDescent="0.25">
      <c r="A3" s="23" t="s">
        <v>71</v>
      </c>
      <c r="B3" s="500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0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545</v>
      </c>
      <c r="M3" s="3"/>
      <c r="O3" s="11" t="s">
        <v>58</v>
      </c>
      <c r="Q3" s="229">
        <f>IF(Q2=0, Q4, (F18-K18-M18)/Q2)</f>
        <v>32.562480000000001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7"/>
    </row>
    <row r="4" spans="1:31" x14ac:dyDescent="0.25">
      <c r="B4" s="500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27.08</v>
      </c>
      <c r="R4" s="520">
        <v>-1.5599999999999999E-2</v>
      </c>
      <c r="T4" s="162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7"/>
    </row>
    <row r="5" spans="1:31" x14ac:dyDescent="0.25">
      <c r="B5" s="501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6770</v>
      </c>
      <c r="W5" s="132"/>
      <c r="X5" s="10"/>
      <c r="Y5" s="10"/>
      <c r="Z5" s="10"/>
      <c r="AA5" s="10"/>
      <c r="AB5" s="94"/>
      <c r="AC5" s="10"/>
      <c r="AD5" s="2"/>
      <c r="AE5" s="137"/>
    </row>
    <row r="6" spans="1:31" x14ac:dyDescent="0.25">
      <c r="B6" s="501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8140.62</v>
      </c>
      <c r="T6" t="s">
        <v>343</v>
      </c>
      <c r="U6" t="s">
        <v>488</v>
      </c>
      <c r="W6" s="132"/>
      <c r="X6" s="10"/>
      <c r="Y6" s="10"/>
      <c r="Z6" s="10"/>
      <c r="AA6" s="10"/>
      <c r="AB6" s="94"/>
      <c r="AC6" s="10"/>
      <c r="AD6" s="2"/>
      <c r="AE6" s="137"/>
    </row>
    <row r="7" spans="1:31" x14ac:dyDescent="0.25">
      <c r="B7" s="502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1939.849999999994</v>
      </c>
      <c r="R7">
        <v>150</v>
      </c>
      <c r="T7" t="s">
        <v>487</v>
      </c>
      <c r="W7" s="132"/>
      <c r="X7" s="10"/>
      <c r="Y7" s="10"/>
      <c r="Z7" s="10"/>
      <c r="AA7" s="10"/>
      <c r="AB7" s="94"/>
      <c r="AC7" s="10"/>
      <c r="AD7" s="2"/>
      <c r="AE7" s="137"/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-1370.62</v>
      </c>
      <c r="T8" t="s">
        <v>489</v>
      </c>
      <c r="W8" s="132"/>
      <c r="X8" s="10"/>
      <c r="Y8" s="10"/>
      <c r="Z8" s="10"/>
      <c r="AA8" s="10"/>
      <c r="AB8" s="94"/>
      <c r="AC8" s="10"/>
      <c r="AD8" s="2"/>
      <c r="AE8" s="137"/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-0.16836801128169598</v>
      </c>
      <c r="W9" s="132"/>
      <c r="X9" s="10"/>
      <c r="Y9" s="10"/>
      <c r="Z9" s="10"/>
      <c r="AA9" s="10"/>
      <c r="AB9" s="94"/>
      <c r="AC9" s="10"/>
      <c r="AD9" s="2"/>
      <c r="AE9" s="137"/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7"/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7"/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7"/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7"/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7"/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7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7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7"/>
    </row>
    <row r="18" spans="1:31" x14ac:dyDescent="0.25">
      <c r="A18" s="32" t="s">
        <v>81</v>
      </c>
      <c r="B18" s="503"/>
      <c r="C18" s="14">
        <f>SUM(C2:C14)</f>
        <v>450</v>
      </c>
      <c r="D18" s="18"/>
      <c r="E18" s="18"/>
      <c r="F18" s="18">
        <f>SUM(F2:F14)</f>
        <v>14010.5</v>
      </c>
      <c r="G18" s="14"/>
      <c r="H18" s="14">
        <f>SUM(H2:H13)</f>
        <v>200</v>
      </c>
      <c r="I18" s="18"/>
      <c r="J18" s="18"/>
      <c r="K18" s="18">
        <f>SUM(K2:K13)</f>
        <v>5839.88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7"/>
    </row>
    <row r="19" spans="1:31" ht="15.75" thickBot="1" x14ac:dyDescent="0.3">
      <c r="A19" s="353" t="s">
        <v>197</v>
      </c>
      <c r="B19" s="504"/>
      <c r="C19" s="355">
        <f>SumByColor($A$19,C2:C17)</f>
        <v>200</v>
      </c>
      <c r="D19" s="355"/>
      <c r="E19" s="355"/>
      <c r="F19" s="356">
        <f>SumByColor($A$19,F2:F17)</f>
        <v>5674</v>
      </c>
      <c r="G19" s="355"/>
      <c r="H19" s="355">
        <f>SumByColor($A$19,H2:H17)</f>
        <v>200</v>
      </c>
      <c r="I19" s="355"/>
      <c r="J19" s="355"/>
      <c r="K19" s="356">
        <f>SumByColor($A$19,K2:K17)</f>
        <v>5840</v>
      </c>
      <c r="L19" s="355"/>
      <c r="M19" s="356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7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/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559</v>
      </c>
      <c r="W23" s="132"/>
      <c r="X23" s="10"/>
      <c r="Y23" s="10"/>
      <c r="Z23" s="10"/>
      <c r="AA23" s="10"/>
      <c r="AB23" s="94"/>
      <c r="AC23" s="10"/>
      <c r="AD23" s="2"/>
      <c r="AE23" s="137"/>
    </row>
    <row r="24" spans="1:31" x14ac:dyDescent="0.25">
      <c r="A24" t="s">
        <v>361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30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7"/>
    </row>
    <row r="25" spans="1:31" x14ac:dyDescent="0.25">
      <c r="A25" t="s">
        <v>361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30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7"/>
    </row>
    <row r="26" spans="1:31" x14ac:dyDescent="0.25">
      <c r="A26" t="s">
        <v>458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30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7"/>
    </row>
    <row r="27" spans="1:31" x14ac:dyDescent="0.25">
      <c r="A27" t="s">
        <v>473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30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7"/>
    </row>
    <row r="28" spans="1:31" x14ac:dyDescent="0.25">
      <c r="A28" t="s">
        <v>478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30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7"/>
    </row>
    <row r="29" spans="1:31" x14ac:dyDescent="0.25">
      <c r="A29" t="s">
        <v>384</v>
      </c>
      <c r="B29" s="156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30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7"/>
    </row>
    <row r="30" spans="1:31" x14ac:dyDescent="0.25">
      <c r="A30" t="s">
        <v>500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30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7"/>
    </row>
    <row r="31" spans="1:31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30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7"/>
    </row>
    <row r="32" spans="1:31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30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7"/>
    </row>
    <row r="33" spans="1:31" x14ac:dyDescent="0.25">
      <c r="A33">
        <v>0</v>
      </c>
      <c r="B33" s="156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30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7"/>
    </row>
    <row r="34" spans="1:31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30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7"/>
    </row>
    <row r="35" spans="1:31" x14ac:dyDescent="0.25">
      <c r="A35">
        <v>50</v>
      </c>
      <c r="B35" s="156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30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7"/>
    </row>
    <row r="36" spans="1:31" x14ac:dyDescent="0.25">
      <c r="A36">
        <v>50</v>
      </c>
      <c r="B36" s="156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30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7"/>
    </row>
    <row r="37" spans="1:31" x14ac:dyDescent="0.25">
      <c r="A37">
        <v>150</v>
      </c>
      <c r="B37" s="156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30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7"/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/>
      <c r="X38" s="10"/>
      <c r="Y38" s="10"/>
      <c r="Z38" s="10"/>
      <c r="AA38" s="10"/>
      <c r="AB38" s="94"/>
      <c r="AC38" s="10"/>
      <c r="AD38" s="2"/>
      <c r="AE38" s="137"/>
    </row>
    <row r="39" spans="1:31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/>
      <c r="X39" s="10"/>
      <c r="Y39" s="10"/>
      <c r="Z39" s="10"/>
      <c r="AA39" s="10"/>
      <c r="AB39" s="94"/>
      <c r="AC39" s="10"/>
      <c r="AD39" s="2"/>
      <c r="AE39" s="137"/>
    </row>
    <row r="40" spans="1:31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/>
      <c r="X40" s="10"/>
      <c r="Y40" s="10"/>
      <c r="Z40" s="10"/>
      <c r="AA40" s="10"/>
      <c r="AB40" s="94"/>
      <c r="AC40" s="10"/>
      <c r="AD40" s="2"/>
      <c r="AE40" s="137"/>
    </row>
    <row r="41" spans="1:31" x14ac:dyDescent="0.25">
      <c r="B41" s="156"/>
      <c r="C41" s="10"/>
      <c r="D41" s="40"/>
      <c r="E41" s="40"/>
      <c r="F41" s="40"/>
      <c r="G41" s="10"/>
      <c r="H41" s="10"/>
      <c r="I41" s="40"/>
      <c r="J41" s="40"/>
      <c r="W41" s="132"/>
      <c r="X41" s="10"/>
      <c r="Y41" s="10"/>
      <c r="Z41" s="10"/>
      <c r="AA41" s="10"/>
      <c r="AB41" s="94"/>
      <c r="AC41" s="10"/>
      <c r="AD41" s="2"/>
      <c r="AE41" s="137"/>
    </row>
    <row r="42" spans="1:31" x14ac:dyDescent="0.25">
      <c r="B42" s="156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7"/>
    </row>
    <row r="43" spans="1:31" x14ac:dyDescent="0.25">
      <c r="B43" s="156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7"/>
    </row>
    <row r="44" spans="1:31" x14ac:dyDescent="0.25">
      <c r="W44" s="132"/>
      <c r="X44" s="10"/>
      <c r="Y44" s="10"/>
      <c r="Z44" s="10"/>
      <c r="AA44" s="10"/>
      <c r="AB44" s="94"/>
      <c r="AC44" s="10"/>
      <c r="AD44" s="2"/>
      <c r="AE44" s="137"/>
    </row>
    <row r="45" spans="1:31" x14ac:dyDescent="0.25">
      <c r="L45" t="s">
        <v>65</v>
      </c>
      <c r="M45" s="526">
        <f>M72+K72-F72</f>
        <v>3310.4699999999939</v>
      </c>
      <c r="W45" s="132"/>
      <c r="X45" s="10"/>
      <c r="Y45" s="10"/>
      <c r="Z45" s="10"/>
      <c r="AA45" s="10"/>
      <c r="AB45" s="94"/>
      <c r="AC45" s="10"/>
      <c r="AD45" s="2"/>
      <c r="AE45" s="137"/>
    </row>
    <row r="46" spans="1:31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/>
      <c r="X46" s="10"/>
      <c r="Y46" s="10"/>
      <c r="Z46" s="10"/>
      <c r="AA46" s="10"/>
      <c r="AB46" s="94"/>
      <c r="AC46" s="10"/>
      <c r="AD46" s="2"/>
      <c r="AE46" s="137"/>
    </row>
    <row r="47" spans="1:31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25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26">H47*I47-J47</f>
        <v>774.28</v>
      </c>
      <c r="L47" s="265">
        <v>42613</v>
      </c>
      <c r="M47" s="261">
        <v>90</v>
      </c>
      <c r="W47" s="132"/>
      <c r="X47" s="10"/>
      <c r="Y47" s="10"/>
      <c r="Z47" s="10"/>
      <c r="AA47" s="10"/>
      <c r="AB47" s="94"/>
      <c r="AC47" s="10"/>
      <c r="AD47" s="2"/>
      <c r="AE47" s="137"/>
    </row>
    <row r="48" spans="1:31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25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26"/>
        <v>1605.42</v>
      </c>
      <c r="L48" s="265">
        <v>42704</v>
      </c>
      <c r="M48" s="261">
        <v>102</v>
      </c>
      <c r="W48" s="132"/>
      <c r="X48" s="10"/>
      <c r="Y48" s="10"/>
      <c r="Z48" s="10"/>
      <c r="AA48" s="10"/>
      <c r="AB48" s="94"/>
      <c r="AC48" s="10"/>
      <c r="AD48" s="2"/>
      <c r="AE48" s="137"/>
    </row>
    <row r="49" spans="1:31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25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26"/>
        <v>704.38</v>
      </c>
      <c r="L49" s="260"/>
      <c r="M49" s="260"/>
      <c r="W49" s="132"/>
      <c r="X49" s="10"/>
      <c r="Y49" s="10"/>
      <c r="Z49" s="10"/>
      <c r="AA49" s="10"/>
      <c r="AB49" s="94"/>
      <c r="AC49" s="10"/>
      <c r="AD49" s="2"/>
      <c r="AE49" s="137"/>
    </row>
    <row r="50" spans="1:31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25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26"/>
        <v>1051.18</v>
      </c>
      <c r="L50" s="260"/>
      <c r="M50" s="260"/>
      <c r="W50" s="132"/>
      <c r="X50" s="10"/>
      <c r="Y50" s="10"/>
      <c r="Z50" s="10"/>
      <c r="AA50" s="10"/>
      <c r="AB50" s="94"/>
      <c r="AC50" s="10"/>
      <c r="AD50" s="2"/>
      <c r="AE50" s="137"/>
    </row>
    <row r="51" spans="1:31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25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26"/>
        <v>2281.9499999999998</v>
      </c>
      <c r="L51" s="260"/>
      <c r="M51" s="260"/>
      <c r="W51" s="132"/>
      <c r="X51" s="10"/>
      <c r="Y51" s="10"/>
      <c r="Z51" s="10"/>
      <c r="AA51" s="10"/>
      <c r="AB51" s="94"/>
      <c r="AC51" s="10"/>
      <c r="AD51" s="2"/>
      <c r="AE51" s="137"/>
    </row>
    <row r="52" spans="1:31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25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26"/>
        <v>1483.1699999999998</v>
      </c>
      <c r="L52" s="260"/>
      <c r="M52" s="260"/>
      <c r="W52" s="132"/>
      <c r="X52" s="10"/>
      <c r="Y52" s="10"/>
      <c r="Z52" s="10"/>
      <c r="AA52" s="10"/>
      <c r="AB52" s="94"/>
      <c r="AC52" s="10"/>
      <c r="AD52" s="2"/>
      <c r="AE52" s="137"/>
    </row>
    <row r="53" spans="1:31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25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26"/>
        <v>991.18000000000006</v>
      </c>
      <c r="L53" s="260"/>
      <c r="M53" s="260"/>
      <c r="O53" s="703" t="s">
        <v>78</v>
      </c>
      <c r="P53" s="703"/>
      <c r="W53" s="132"/>
      <c r="X53" s="10"/>
      <c r="Y53" s="10"/>
      <c r="Z53" s="10"/>
      <c r="AA53" s="10"/>
      <c r="AB53" s="94"/>
      <c r="AC53" s="10"/>
      <c r="AD53" s="2"/>
      <c r="AE53" s="137"/>
    </row>
    <row r="54" spans="1:31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25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29.788</v>
      </c>
      <c r="Q54" s="2"/>
      <c r="W54" s="132"/>
      <c r="X54" s="10"/>
      <c r="Y54" s="10"/>
      <c r="Z54" s="10"/>
      <c r="AA54" s="10"/>
      <c r="AB54" s="94"/>
      <c r="AC54" s="10"/>
      <c r="AD54" s="2"/>
      <c r="AE54" s="137"/>
    </row>
    <row r="55" spans="1:31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25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7">O55*$Q$4</f>
        <v>29.517199999999999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7"/>
    </row>
    <row r="56" spans="1:31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25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7"/>
        <v>29.246400000000001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7"/>
    </row>
    <row r="57" spans="1:31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7"/>
        <v>28.9756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7"/>
    </row>
    <row r="58" spans="1:31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25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7"/>
        <v>28.704799999999999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7"/>
    </row>
    <row r="59" spans="1:31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7"/>
        <v>28.434000000000001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7"/>
    </row>
    <row r="60" spans="1:31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7"/>
        <v>28.1632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7"/>
    </row>
    <row r="61" spans="1:31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7"/>
        <v>27.892399999999999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7"/>
    </row>
    <row r="62" spans="1:31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7"/>
        <v>27.621599999999997</v>
      </c>
      <c r="Q62" s="2"/>
      <c r="T62" s="92" t="s">
        <v>122</v>
      </c>
      <c r="U62" s="129" t="s">
        <v>452</v>
      </c>
      <c r="W62" s="132"/>
      <c r="X62" s="10"/>
      <c r="Y62" s="10"/>
      <c r="Z62" s="10"/>
      <c r="AA62" s="10"/>
      <c r="AB62" s="94"/>
      <c r="AC62" s="10"/>
      <c r="AD62" s="2"/>
      <c r="AE62" s="137"/>
    </row>
    <row r="63" spans="1:31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7"/>
        <v>27.3508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7"/>
    </row>
    <row r="64" spans="1:31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7"/>
        <v>27.08</v>
      </c>
      <c r="Q64" s="2"/>
      <c r="T64" s="92" t="s">
        <v>105</v>
      </c>
      <c r="U64" s="129" t="s">
        <v>727</v>
      </c>
      <c r="W64" s="132"/>
      <c r="X64" s="10"/>
      <c r="Y64" s="10"/>
      <c r="Z64" s="10"/>
      <c r="AA64" s="10"/>
      <c r="AB64" s="94"/>
      <c r="AC64" s="10"/>
      <c r="AD64" s="2"/>
      <c r="AE64" s="137"/>
    </row>
    <row r="65" spans="1:31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7"/>
        <v>26.809199999999997</v>
      </c>
      <c r="Q65" s="2"/>
      <c r="T65" s="92" t="s">
        <v>106</v>
      </c>
      <c r="U65" s="129" t="s">
        <v>508</v>
      </c>
      <c r="W65" s="132"/>
      <c r="X65" s="10"/>
      <c r="Y65" s="10"/>
      <c r="Z65" s="10"/>
      <c r="AA65" s="10"/>
      <c r="AB65" s="94"/>
      <c r="AC65" s="10"/>
      <c r="AD65" s="2"/>
      <c r="AE65" s="137"/>
    </row>
    <row r="66" spans="1:31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7"/>
        <v>26.538399999999999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7"/>
    </row>
    <row r="67" spans="1:31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7"/>
        <v>26.267599999999998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7"/>
    </row>
    <row r="68" spans="1:31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7"/>
        <v>25.996799999999997</v>
      </c>
      <c r="T68" s="92" t="s">
        <v>108</v>
      </c>
      <c r="U68" s="129" t="s">
        <v>728</v>
      </c>
      <c r="W68" s="132"/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7"/>
        <v>25.725999999999996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7"/>
    </row>
    <row r="70" spans="1:31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7"/>
        <v>25.455199999999998</v>
      </c>
      <c r="T70" s="92" t="s">
        <v>112</v>
      </c>
      <c r="U70" s="129">
        <v>-1.19</v>
      </c>
    </row>
    <row r="71" spans="1:31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7"/>
        <v>25.1844</v>
      </c>
      <c r="T71" s="92" t="s">
        <v>109</v>
      </c>
      <c r="U71" s="129" t="s">
        <v>615</v>
      </c>
    </row>
    <row r="72" spans="1:31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7"/>
        <v>24.913599999999999</v>
      </c>
    </row>
    <row r="73" spans="1:31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7"/>
        <v>24.642799999999998</v>
      </c>
    </row>
    <row r="74" spans="1:31" x14ac:dyDescent="0.25">
      <c r="O74" s="82">
        <v>0.9</v>
      </c>
      <c r="P74" s="82">
        <f t="shared" si="27"/>
        <v>24.372</v>
      </c>
    </row>
    <row r="77" spans="1:31" x14ac:dyDescent="0.25">
      <c r="S77" t="s">
        <v>230</v>
      </c>
    </row>
    <row r="80" spans="1:31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559</v>
      </c>
    </row>
    <row r="81" spans="2:10" x14ac:dyDescent="0.25">
      <c r="B81" s="651"/>
      <c r="C81" s="378"/>
      <c r="D81" s="379"/>
      <c r="E81" s="379"/>
      <c r="F81" s="379"/>
      <c r="G81" s="378"/>
      <c r="H81" s="378"/>
      <c r="I81" s="379"/>
      <c r="J81" s="379"/>
    </row>
    <row r="82" spans="2:10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28">C82*(E82-D82)</f>
        <v>17.999999999999972</v>
      </c>
      <c r="G82" s="379">
        <f t="shared" ref="G82:G143" si="29">D82*C82</f>
        <v>2525</v>
      </c>
      <c r="H82" s="380">
        <f t="shared" ref="H82:H143" si="30">(E82-D82)/D82</f>
        <v>7.1287128712871177E-3</v>
      </c>
      <c r="I82" s="379"/>
      <c r="J82" s="379"/>
    </row>
    <row r="83" spans="2:10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28"/>
        <v>-176.99999999999994</v>
      </c>
      <c r="G83" s="379">
        <f t="shared" si="29"/>
        <v>2525</v>
      </c>
      <c r="H83" s="380">
        <f t="shared" si="30"/>
        <v>-7.0099009900990078E-2</v>
      </c>
      <c r="I83" s="379"/>
      <c r="J83" s="379"/>
    </row>
    <row r="84" spans="2:10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28"/>
        <v>-119.00000000000013</v>
      </c>
      <c r="G84" s="379">
        <f t="shared" si="29"/>
        <v>2525</v>
      </c>
      <c r="H84" s="380">
        <f t="shared" si="30"/>
        <v>-4.7128712871287178E-2</v>
      </c>
      <c r="I84" s="379"/>
      <c r="J84" s="379"/>
    </row>
    <row r="85" spans="2:10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28"/>
        <v>-171.00000000000009</v>
      </c>
      <c r="G85" s="379">
        <f t="shared" si="29"/>
        <v>2525</v>
      </c>
      <c r="H85" s="380">
        <f t="shared" si="30"/>
        <v>-6.7722772277227755E-2</v>
      </c>
      <c r="I85" s="379"/>
      <c r="J85" s="379"/>
    </row>
    <row r="86" spans="2:10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28"/>
        <v>-150</v>
      </c>
      <c r="G86" s="379">
        <f t="shared" si="29"/>
        <v>2525</v>
      </c>
      <c r="H86" s="380">
        <f t="shared" si="30"/>
        <v>-5.9405940594059403E-2</v>
      </c>
      <c r="I86" s="379"/>
      <c r="J86" s="379"/>
    </row>
    <row r="87" spans="2:10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28"/>
        <v>-39.000000000000057</v>
      </c>
      <c r="G87" s="379">
        <f t="shared" si="29"/>
        <v>2525</v>
      </c>
      <c r="H87" s="380">
        <f t="shared" si="30"/>
        <v>-1.5445544554455468E-2</v>
      </c>
      <c r="I87" s="379"/>
      <c r="J87" s="379"/>
    </row>
    <row r="88" spans="2:10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28"/>
        <v>-57.999999999999829</v>
      </c>
      <c r="G88" s="379">
        <f t="shared" si="29"/>
        <v>2525</v>
      </c>
      <c r="H88" s="380">
        <f t="shared" si="30"/>
        <v>-2.2970297029702904E-2</v>
      </c>
      <c r="I88" s="379"/>
      <c r="J88" s="379"/>
    </row>
    <row r="89" spans="2:10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28"/>
        <v>78.000000000000114</v>
      </c>
      <c r="G89" s="379">
        <f t="shared" si="29"/>
        <v>2525</v>
      </c>
      <c r="H89" s="380">
        <f t="shared" si="30"/>
        <v>3.0891089108910936E-2</v>
      </c>
      <c r="I89" s="379"/>
      <c r="J89" s="379"/>
    </row>
    <row r="90" spans="2:10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28"/>
        <v>244.00000000000011</v>
      </c>
      <c r="G90" s="379">
        <f t="shared" si="29"/>
        <v>2525</v>
      </c>
      <c r="H90" s="380">
        <f t="shared" si="30"/>
        <v>9.6633663366336678E-2</v>
      </c>
      <c r="I90" s="466">
        <v>23</v>
      </c>
      <c r="J90" s="379"/>
    </row>
    <row r="91" spans="2:10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28"/>
        <v>130.00000000000006</v>
      </c>
      <c r="G91" s="379">
        <f t="shared" si="29"/>
        <v>2525</v>
      </c>
      <c r="H91" s="380">
        <f t="shared" si="30"/>
        <v>5.148514851485151E-2</v>
      </c>
      <c r="I91" s="379"/>
      <c r="J91" s="379"/>
    </row>
    <row r="92" spans="2:10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28"/>
        <v>135.99999999999994</v>
      </c>
      <c r="G92" s="379">
        <f t="shared" si="29"/>
        <v>2525</v>
      </c>
      <c r="H92" s="380">
        <f t="shared" si="30"/>
        <v>5.386138613861384E-2</v>
      </c>
      <c r="I92" s="379"/>
      <c r="J92" s="379"/>
    </row>
    <row r="93" spans="2:10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28"/>
        <v>103.99999999999991</v>
      </c>
      <c r="G93" s="379">
        <f t="shared" si="29"/>
        <v>2525</v>
      </c>
      <c r="H93" s="380">
        <f t="shared" si="30"/>
        <v>4.1188118811881155E-2</v>
      </c>
      <c r="I93" s="379"/>
      <c r="J93" s="379"/>
    </row>
    <row r="94" spans="2:10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28"/>
        <v>-7.0000000000000284</v>
      </c>
      <c r="G94" s="379">
        <f t="shared" si="29"/>
        <v>2525</v>
      </c>
      <c r="H94" s="380">
        <f t="shared" si="30"/>
        <v>-2.7722772277227834E-3</v>
      </c>
      <c r="I94" s="379"/>
      <c r="J94" s="379"/>
    </row>
    <row r="95" spans="2:10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28"/>
        <v>7.9999999999998295</v>
      </c>
      <c r="G95" s="379">
        <f t="shared" si="29"/>
        <v>2525</v>
      </c>
      <c r="H95" s="380">
        <f t="shared" si="30"/>
        <v>3.1683168316831009E-3</v>
      </c>
      <c r="I95" s="379"/>
      <c r="J95" s="379"/>
    </row>
    <row r="96" spans="2:10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28"/>
        <v>55.278999999999989</v>
      </c>
      <c r="G96" s="379">
        <f t="shared" si="29"/>
        <v>1750.721</v>
      </c>
      <c r="H96" s="380">
        <f t="shared" si="30"/>
        <v>3.1574991103665281E-2</v>
      </c>
      <c r="I96" s="379"/>
      <c r="J96" s="379"/>
    </row>
    <row r="97" spans="2:10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28"/>
        <v>3.8799999999998391</v>
      </c>
      <c r="G97" s="379">
        <f t="shared" si="29"/>
        <v>2464.1200000000003</v>
      </c>
      <c r="H97" s="380">
        <f t="shared" si="30"/>
        <v>1.5745986396765738E-3</v>
      </c>
      <c r="I97" s="379"/>
      <c r="J97" s="379"/>
    </row>
    <row r="98" spans="2:10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28"/>
        <v>-15.120000000000289</v>
      </c>
      <c r="G98" s="379">
        <f t="shared" si="29"/>
        <v>2464.1200000000003</v>
      </c>
      <c r="H98" s="380">
        <f t="shared" si="30"/>
        <v>-6.1360648020389787E-3</v>
      </c>
      <c r="I98" s="379"/>
      <c r="J98" s="379"/>
    </row>
    <row r="99" spans="2:10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28"/>
        <v>-442.62000000000012</v>
      </c>
      <c r="G99" s="379">
        <f t="shared" si="29"/>
        <v>4728.62</v>
      </c>
      <c r="H99" s="380">
        <f t="shared" si="30"/>
        <v>-9.360447657033133E-2</v>
      </c>
      <c r="I99" s="379"/>
      <c r="J99" s="379"/>
    </row>
    <row r="100" spans="2:10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28"/>
        <v>-391.61999999999966</v>
      </c>
      <c r="G100" s="379">
        <f t="shared" si="29"/>
        <v>6820.62</v>
      </c>
      <c r="H100" s="380">
        <f t="shared" si="30"/>
        <v>-5.7417067656605945E-2</v>
      </c>
      <c r="I100" s="379"/>
      <c r="J100" s="379"/>
    </row>
    <row r="101" spans="2:10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28"/>
        <v>-184.61999999999927</v>
      </c>
      <c r="G101" s="379">
        <f t="shared" si="29"/>
        <v>6820.62</v>
      </c>
      <c r="H101" s="380">
        <f t="shared" si="30"/>
        <v>-2.7067920511624936E-2</v>
      </c>
      <c r="I101" s="379"/>
      <c r="J101" s="379"/>
    </row>
    <row r="102" spans="2:10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28"/>
        <v>-349.61999999999944</v>
      </c>
      <c r="G102" s="379">
        <f t="shared" si="29"/>
        <v>6820.62</v>
      </c>
      <c r="H102" s="380">
        <f t="shared" si="30"/>
        <v>-5.1259269685160515E-2</v>
      </c>
      <c r="I102" s="379"/>
      <c r="J102" s="379"/>
    </row>
    <row r="103" spans="2:10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28"/>
        <v>120.79599999999957</v>
      </c>
      <c r="G103" s="379">
        <f t="shared" si="29"/>
        <v>5215.2040000000006</v>
      </c>
      <c r="H103" s="380">
        <f t="shared" si="30"/>
        <v>2.3162277065288252E-2</v>
      </c>
      <c r="I103" s="379"/>
      <c r="J103" s="379"/>
    </row>
    <row r="104" spans="2:10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28"/>
        <v>151.18000000000009</v>
      </c>
      <c r="G104" s="379">
        <f t="shared" si="29"/>
        <v>4510.82</v>
      </c>
      <c r="H104" s="380">
        <f t="shared" si="30"/>
        <v>3.3514970670521123E-2</v>
      </c>
      <c r="I104" s="379">
        <v>22</v>
      </c>
      <c r="J104" s="379"/>
    </row>
    <row r="105" spans="2:10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28"/>
        <v>37.180000000000035</v>
      </c>
      <c r="G105" s="379">
        <f t="shared" si="29"/>
        <v>4510.82</v>
      </c>
      <c r="H105" s="380">
        <f t="shared" si="30"/>
        <v>8.2424038201480074E-3</v>
      </c>
      <c r="I105" s="379"/>
      <c r="J105" s="379"/>
    </row>
    <row r="106" spans="2:10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28"/>
        <v>93.180000000000263</v>
      </c>
      <c r="G106" s="379">
        <f t="shared" si="29"/>
        <v>4510.82</v>
      </c>
      <c r="H106" s="380">
        <f t="shared" si="30"/>
        <v>2.06569980624366E-2</v>
      </c>
      <c r="I106" s="379"/>
      <c r="J106" s="379"/>
    </row>
    <row r="107" spans="2:10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28"/>
        <v>227.1800000000006</v>
      </c>
      <c r="G107" s="379">
        <f t="shared" si="29"/>
        <v>4510.82</v>
      </c>
      <c r="H107" s="380">
        <f t="shared" si="30"/>
        <v>5.0363348570769975E-2</v>
      </c>
      <c r="I107" s="379"/>
      <c r="J107" s="379"/>
    </row>
    <row r="108" spans="2:10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28"/>
        <v>455.18</v>
      </c>
      <c r="G108" s="379">
        <f t="shared" si="29"/>
        <v>4510.82</v>
      </c>
      <c r="H108" s="380">
        <f t="shared" si="30"/>
        <v>0.10090848227151605</v>
      </c>
      <c r="I108" s="379"/>
      <c r="J108" s="379"/>
    </row>
    <row r="109" spans="2:10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28"/>
        <v>297.18000000000018</v>
      </c>
      <c r="G109" s="379">
        <f t="shared" si="29"/>
        <v>4510.82</v>
      </c>
      <c r="H109" s="380">
        <f t="shared" si="30"/>
        <v>6.588159137363056E-2</v>
      </c>
      <c r="I109" s="379"/>
      <c r="J109" s="379"/>
    </row>
    <row r="110" spans="2:10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28"/>
        <v>335.1800000000004</v>
      </c>
      <c r="G110" s="379">
        <f t="shared" si="29"/>
        <v>4510.82</v>
      </c>
      <c r="H110" s="380">
        <f t="shared" si="30"/>
        <v>7.4305780323754983E-2</v>
      </c>
      <c r="I110" s="379"/>
      <c r="J110" s="379"/>
    </row>
    <row r="111" spans="2:10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28"/>
        <v>285.1800000000004</v>
      </c>
      <c r="G111" s="379">
        <f t="shared" si="29"/>
        <v>4510.82</v>
      </c>
      <c r="H111" s="380">
        <f t="shared" si="30"/>
        <v>6.3221321178854498E-2</v>
      </c>
      <c r="I111" s="379"/>
      <c r="J111" s="379"/>
    </row>
    <row r="112" spans="2:10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28"/>
        <v>485.1800000000004</v>
      </c>
      <c r="G112" s="379">
        <f t="shared" si="29"/>
        <v>4510.82</v>
      </c>
      <c r="H112" s="380">
        <f t="shared" si="30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28"/>
        <v>723.18000000000075</v>
      </c>
      <c r="G113" s="379">
        <f t="shared" si="29"/>
        <v>4510.82</v>
      </c>
      <c r="H113" s="380">
        <f t="shared" si="30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28"/>
        <v>699.18000000000052</v>
      </c>
      <c r="G114" s="379">
        <f t="shared" si="29"/>
        <v>4420.82</v>
      </c>
      <c r="H114" s="380">
        <f t="shared" si="30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28"/>
        <v>767.18000000000052</v>
      </c>
      <c r="G115" s="379">
        <f t="shared" si="29"/>
        <v>4420.82</v>
      </c>
      <c r="H115" s="380">
        <f t="shared" si="30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28"/>
        <v>709.18</v>
      </c>
      <c r="G116" s="379">
        <f t="shared" si="29"/>
        <v>4420.82</v>
      </c>
      <c r="H116" s="380">
        <f t="shared" si="30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28"/>
        <v>686</v>
      </c>
      <c r="G117" s="379">
        <f t="shared" si="29"/>
        <v>4420</v>
      </c>
      <c r="H117" s="380">
        <f t="shared" si="30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28"/>
        <v>783.95199999999988</v>
      </c>
      <c r="G118" s="379">
        <f t="shared" si="29"/>
        <v>3369.6480000000001</v>
      </c>
      <c r="H118" s="380">
        <f t="shared" si="30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28"/>
        <v>630.35199999999975</v>
      </c>
      <c r="G119" s="379">
        <f t="shared" si="29"/>
        <v>3369.6480000000001</v>
      </c>
      <c r="H119" s="380">
        <f t="shared" si="30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28"/>
        <v>711.952</v>
      </c>
      <c r="G120" s="379">
        <f t="shared" si="29"/>
        <v>3369.6480000000001</v>
      </c>
      <c r="H120" s="380">
        <f t="shared" si="30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28"/>
        <v>449.16000000000054</v>
      </c>
      <c r="G121" s="379">
        <f t="shared" si="29"/>
        <v>4352.84</v>
      </c>
      <c r="H121" s="380">
        <f t="shared" si="30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28"/>
        <v>383.1600000000002</v>
      </c>
      <c r="G122" s="379">
        <f t="shared" si="29"/>
        <v>4352.84</v>
      </c>
      <c r="H122" s="380">
        <f t="shared" si="30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28"/>
        <v>307.16000000000037</v>
      </c>
      <c r="G123" s="379">
        <f t="shared" si="29"/>
        <v>4352.84</v>
      </c>
      <c r="H123" s="380">
        <f t="shared" si="30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28"/>
        <v>253.16000000000045</v>
      </c>
      <c r="G124" s="379">
        <f t="shared" si="29"/>
        <v>4352.84</v>
      </c>
      <c r="H124" s="380">
        <f t="shared" si="30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28"/>
        <v>173.16000000000003</v>
      </c>
      <c r="G125" s="379">
        <f t="shared" si="29"/>
        <v>4352.84</v>
      </c>
      <c r="H125" s="380">
        <f t="shared" si="30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28"/>
        <v>211.11000000000041</v>
      </c>
      <c r="G126" s="379">
        <f t="shared" si="29"/>
        <v>6580.8899999999994</v>
      </c>
      <c r="H126" s="380">
        <f t="shared" si="30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28"/>
        <v>229.10000000000039</v>
      </c>
      <c r="G127" s="379">
        <f t="shared" si="29"/>
        <v>4298.8999999999996</v>
      </c>
      <c r="H127" s="380">
        <f t="shared" si="30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28"/>
        <v>491.10000000000014</v>
      </c>
      <c r="G128" s="379">
        <f t="shared" si="29"/>
        <v>4298.8999999999996</v>
      </c>
      <c r="H128" s="380">
        <f t="shared" si="30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28"/>
        <v>572.27799999999979</v>
      </c>
      <c r="G129" s="379">
        <f t="shared" si="29"/>
        <v>2815.7220000000002</v>
      </c>
      <c r="H129" s="380">
        <f t="shared" si="30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28"/>
        <v>566.27999999999975</v>
      </c>
      <c r="G130" s="379">
        <f t="shared" si="29"/>
        <v>4273.72</v>
      </c>
      <c r="H130" s="380">
        <f t="shared" si="30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28"/>
        <v>698.27999999999975</v>
      </c>
      <c r="G131" s="379">
        <f t="shared" si="29"/>
        <v>4273.72</v>
      </c>
      <c r="H131" s="380">
        <f t="shared" si="30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28"/>
        <v>658.27999999999986</v>
      </c>
      <c r="G132" s="379">
        <f t="shared" si="29"/>
        <v>4273.72</v>
      </c>
      <c r="H132" s="380">
        <f t="shared" si="30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28"/>
        <v>516.27999999999975</v>
      </c>
      <c r="G133" s="379">
        <f t="shared" si="29"/>
        <v>4273.72</v>
      </c>
      <c r="H133" s="380">
        <f t="shared" si="30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28"/>
        <v>508.29000000000059</v>
      </c>
      <c r="G134" s="379">
        <f t="shared" si="29"/>
        <v>6529.71</v>
      </c>
      <c r="H134" s="380">
        <f t="shared" si="30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28"/>
        <v>713.99999999999966</v>
      </c>
      <c r="G135" s="379">
        <f t="shared" si="29"/>
        <v>6531</v>
      </c>
      <c r="H135" s="380">
        <f t="shared" si="30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28"/>
        <v>956.25400000000025</v>
      </c>
      <c r="G136" s="379">
        <f t="shared" si="29"/>
        <v>5538.5460000000003</v>
      </c>
      <c r="H136" s="380">
        <f t="shared" si="30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28"/>
        <v>1200.6540000000007</v>
      </c>
      <c r="G137" s="379">
        <f t="shared" si="29"/>
        <v>5538.5460000000003</v>
      </c>
      <c r="H137" s="380">
        <f t="shared" si="30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28"/>
        <v>1052.4540000000006</v>
      </c>
      <c r="G138" s="379">
        <f t="shared" si="29"/>
        <v>5538.5460000000003</v>
      </c>
      <c r="H138" s="380">
        <f t="shared" si="30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28"/>
        <v>698.16000000000042</v>
      </c>
      <c r="G139" s="379">
        <f t="shared" si="29"/>
        <v>6504.84</v>
      </c>
      <c r="H139" s="380">
        <f t="shared" si="30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28"/>
        <v>984.12000000000012</v>
      </c>
      <c r="G140" s="379">
        <f t="shared" si="29"/>
        <v>6482.88</v>
      </c>
      <c r="H140" s="380">
        <f t="shared" si="30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28"/>
        <v>352.68200000000064</v>
      </c>
      <c r="G141" s="379">
        <f t="shared" si="29"/>
        <v>7331.3180000000002</v>
      </c>
      <c r="H141" s="380">
        <f t="shared" si="30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28"/>
        <v>2320.6080000000002</v>
      </c>
      <c r="G142" s="379">
        <f t="shared" si="29"/>
        <v>4531.3919999999998</v>
      </c>
      <c r="H142" s="380">
        <f t="shared" si="30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28"/>
        <v>2541.7799999999997</v>
      </c>
      <c r="G143" s="379">
        <f t="shared" si="29"/>
        <v>3246.2200000000003</v>
      </c>
      <c r="H143" s="380">
        <f t="shared" si="30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31">C146*(E146-D146)</f>
        <v>-57.000000000000028</v>
      </c>
      <c r="G146" s="379">
        <f t="shared" ref="G146:G153" si="32">D146*C146</f>
        <v>5857</v>
      </c>
      <c r="H146" s="380">
        <f t="shared" ref="H146:H153" si="33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31"/>
        <v>26.940000000000097</v>
      </c>
      <c r="G147" s="379">
        <f t="shared" si="32"/>
        <v>2921.06</v>
      </c>
      <c r="H147" s="380">
        <f t="shared" si="33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31"/>
        <v>-91.06000000000023</v>
      </c>
      <c r="G148" s="379">
        <f t="shared" si="32"/>
        <v>5749.06</v>
      </c>
      <c r="H148" s="380">
        <f t="shared" si="33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31"/>
        <v>24.88000000000028</v>
      </c>
      <c r="G149" s="379">
        <f t="shared" si="32"/>
        <v>2851.12</v>
      </c>
      <c r="H149" s="380">
        <f t="shared" si="33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31"/>
        <v>343.88000000000005</v>
      </c>
      <c r="G150" s="379">
        <f t="shared" si="32"/>
        <v>2851.12</v>
      </c>
      <c r="H150" s="380">
        <f t="shared" si="33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31"/>
        <v>452.88000000000005</v>
      </c>
      <c r="G151" s="379">
        <f t="shared" si="32"/>
        <v>2851.12</v>
      </c>
      <c r="H151" s="380">
        <f t="shared" si="33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31"/>
        <v>525.88000000000045</v>
      </c>
      <c r="G152" s="379">
        <f t="shared" si="32"/>
        <v>2851.12</v>
      </c>
      <c r="H152" s="380">
        <f t="shared" si="33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31"/>
        <v>421.87999999999982</v>
      </c>
      <c r="G153" s="379">
        <f t="shared" si="32"/>
        <v>2851.12</v>
      </c>
      <c r="H153" s="380">
        <f t="shared" si="33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13" priority="62">
      <formula>Q7&gt;0</formula>
    </cfRule>
    <cfRule type="expression" dxfId="412" priority="63">
      <formula>Q7&lt;0</formula>
    </cfRule>
  </conditionalFormatting>
  <conditionalFormatting sqref="Q8">
    <cfRule type="expression" dxfId="411" priority="60">
      <formula>Q8&gt;0</formula>
    </cfRule>
    <cfRule type="expression" dxfId="410" priority="61">
      <formula>Q8&lt;0</formula>
    </cfRule>
  </conditionalFormatting>
  <conditionalFormatting sqref="F24">
    <cfRule type="expression" dxfId="409" priority="42">
      <formula>F24&gt;0</formula>
    </cfRule>
    <cfRule type="expression" dxfId="408" priority="43">
      <formula>F24&lt;0</formula>
    </cfRule>
  </conditionalFormatting>
  <conditionalFormatting sqref="F25:F36">
    <cfRule type="expression" dxfId="407" priority="40">
      <formula>F25&gt;0</formula>
    </cfRule>
    <cfRule type="expression" dxfId="406" priority="41">
      <formula>F25&lt;0</formula>
    </cfRule>
  </conditionalFormatting>
  <conditionalFormatting sqref="H24:H36">
    <cfRule type="expression" dxfId="405" priority="38">
      <formula>H24&gt;0</formula>
    </cfRule>
    <cfRule type="expression" dxfId="404" priority="39">
      <formula>H24&lt;0</formula>
    </cfRule>
  </conditionalFormatting>
  <conditionalFormatting sqref="J32:J43">
    <cfRule type="expression" dxfId="403" priority="35">
      <formula>J32&gt;0</formula>
    </cfRule>
    <cfRule type="expression" dxfId="402" priority="36">
      <formula>J32&lt;0</formula>
    </cfRule>
  </conditionalFormatting>
  <conditionalFormatting sqref="M45">
    <cfRule type="expression" dxfId="401" priority="33">
      <formula>M45&gt;0</formula>
    </cfRule>
    <cfRule type="expression" dxfId="400" priority="34">
      <formula>M45&lt;0</formula>
    </cfRule>
  </conditionalFormatting>
  <conditionalFormatting sqref="F90:F126 H90:H126 H129:H134 F129:F134 F136:F145 H136:H145">
    <cfRule type="expression" dxfId="399" priority="31">
      <formula>F90&gt;0</formula>
    </cfRule>
    <cfRule type="expression" dxfId="398" priority="32">
      <formula>F90&lt;0</formula>
    </cfRule>
  </conditionalFormatting>
  <conditionalFormatting sqref="F82:F89">
    <cfRule type="expression" dxfId="397" priority="29">
      <formula>F82&gt;0</formula>
    </cfRule>
    <cfRule type="expression" dxfId="396" priority="30">
      <formula>F82&lt;0</formula>
    </cfRule>
  </conditionalFormatting>
  <conditionalFormatting sqref="H82:H89">
    <cfRule type="expression" dxfId="395" priority="27">
      <formula>H82&gt;0</formula>
    </cfRule>
    <cfRule type="expression" dxfId="394" priority="28">
      <formula>H82&lt;0</formula>
    </cfRule>
  </conditionalFormatting>
  <conditionalFormatting sqref="F127:F128 H127:H128">
    <cfRule type="expression" dxfId="393" priority="25">
      <formula>F127&gt;0</formula>
    </cfRule>
    <cfRule type="expression" dxfId="392" priority="26">
      <formula>F127&lt;0</formula>
    </cfRule>
  </conditionalFormatting>
  <conditionalFormatting sqref="H135 F135">
    <cfRule type="expression" dxfId="391" priority="23">
      <formula>F135&gt;0</formula>
    </cfRule>
    <cfRule type="expression" dxfId="390" priority="24">
      <formula>F135&lt;0</formula>
    </cfRule>
  </conditionalFormatting>
  <conditionalFormatting sqref="F146:F153">
    <cfRule type="expression" dxfId="389" priority="9">
      <formula>F146&gt;0</formula>
    </cfRule>
    <cfRule type="expression" dxfId="388" priority="10">
      <formula>F146&lt;0</formula>
    </cfRule>
  </conditionalFormatting>
  <conditionalFormatting sqref="H146:H153">
    <cfRule type="expression" dxfId="387" priority="7">
      <formula>H146&gt;0</formula>
    </cfRule>
    <cfRule type="expression" dxfId="386" priority="8">
      <formula>H146&lt;0</formula>
    </cfRule>
  </conditionalFormatting>
  <conditionalFormatting sqref="Q10">
    <cfRule type="expression" dxfId="385" priority="5">
      <formula>Q10&gt;0</formula>
    </cfRule>
    <cfRule type="expression" dxfId="384" priority="6">
      <formula>Q10&lt;0</formula>
    </cfRule>
  </conditionalFormatting>
  <conditionalFormatting sqref="F37">
    <cfRule type="expression" dxfId="7" priority="3">
      <formula>F37&gt;0</formula>
    </cfRule>
    <cfRule type="expression" dxfId="6" priority="4">
      <formula>F37&lt;0</formula>
    </cfRule>
  </conditionalFormatting>
  <conditionalFormatting sqref="H37">
    <cfRule type="expression" dxfId="3" priority="1">
      <formula>H37&gt;0</formula>
    </cfRule>
    <cfRule type="expression" dxfId="2" priority="2">
      <formula>H37&lt;0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363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7">
        <f>AC2/AC3-1</f>
        <v>-1.2726932434961591E-2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542</v>
      </c>
      <c r="M3" s="3"/>
      <c r="O3" s="11" t="s">
        <v>58</v>
      </c>
      <c r="Q3" s="229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7">
        <f t="shared" ref="AE3:AE66" si="1">AC3/AC4-1</f>
        <v>-1.110494169905607E-2</v>
      </c>
    </row>
    <row r="4" spans="1:31" x14ac:dyDescent="0.25">
      <c r="B4" s="501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53.6</v>
      </c>
      <c r="R4" s="520">
        <v>-1.5E-3</v>
      </c>
      <c r="T4" s="162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7">
        <f t="shared" si="1"/>
        <v>-2.1018300416742131E-2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6968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7">
        <f t="shared" si="1"/>
        <v>-1.0859728506787958E-3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7">
        <f t="shared" si="1"/>
        <v>1.8132366273799772E-3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-542.39999999999964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7">
        <f t="shared" si="1"/>
        <v>2.8917910447761042E-2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-542.39999999999964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7">
        <f t="shared" si="1"/>
        <v>5.0628164260266839E-3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-7.2219855134213848E-2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7">
        <f t="shared" si="1"/>
        <v>3.9533132530120696E-3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7">
        <f t="shared" si="1"/>
        <v>-3.7636432066245895E-4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7">
        <f t="shared" si="1"/>
        <v>-8.2120194102276445E-3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7">
        <f t="shared" si="1"/>
        <v>3.5587188612098419E-3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7">
        <f t="shared" si="1"/>
        <v>-1.8024645944454631E-2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7">
        <f t="shared" si="1"/>
        <v>1.4735678762203275E-3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7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7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7">
        <f t="shared" si="1"/>
        <v>-3.2876712328766544E-3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7">
        <f t="shared" si="1"/>
        <v>-7.9724587787641799E-3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7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7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7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7">
        <f t="shared" si="1"/>
        <v>-2.1762785636560977E-3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7">
        <f t="shared" si="1"/>
        <v>-1.7112299465240621E-2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7">
        <f t="shared" si="1"/>
        <v>-2.1795989537925053E-2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7">
        <f t="shared" si="1"/>
        <v>-1.035375323554788E-2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7">
        <f t="shared" si="1"/>
        <v>2.075047553173226E-3</v>
      </c>
    </row>
    <row r="27" spans="1:31" x14ac:dyDescent="0.25">
      <c r="A27" t="s">
        <v>482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7">
        <f t="shared" si="1"/>
        <v>-1.5994555045091063E-2</v>
      </c>
    </row>
    <row r="28" spans="1:31" x14ac:dyDescent="0.25">
      <c r="A28" t="s">
        <v>482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7">
        <f t="shared" si="1"/>
        <v>-0.12165595576147059</v>
      </c>
    </row>
    <row r="29" spans="1:31" x14ac:dyDescent="0.25">
      <c r="A29" t="s">
        <v>510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7">
        <f t="shared" si="1"/>
        <v>6.0141332130505543E-3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7">
        <f t="shared" si="1"/>
        <v>2.3545706371191244E-2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7">
        <f t="shared" si="1"/>
        <v>-1.4558689717925288E-2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7">
        <f t="shared" si="1"/>
        <v>-4.0779338468508453E-3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7">
        <f t="shared" si="1"/>
        <v>6.3839489284083228E-3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7">
        <f t="shared" si="1"/>
        <v>9.0490797546012303E-3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7">
        <f t="shared" si="1"/>
        <v>-8.365019011406849E-3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7">
        <f t="shared" si="1"/>
        <v>1.5232292460014563E-3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7">
        <f t="shared" si="1"/>
        <v>1.2960962814380528E-2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7" t="e">
        <f t="shared" si="1"/>
        <v>#DIV/0!</v>
      </c>
    </row>
    <row r="39" spans="1:31" x14ac:dyDescent="0.25">
      <c r="W39" s="132">
        <v>42779</v>
      </c>
      <c r="X39" s="10" t="s">
        <v>366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7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58.960000000000008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7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58.424000000000007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7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57.888000000000005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7">
        <f t="shared" si="1"/>
        <v>2.3870146403563997E-3</v>
      </c>
    </row>
    <row r="44" spans="1:31" x14ac:dyDescent="0.25">
      <c r="O44" s="82">
        <v>1.07</v>
      </c>
      <c r="P44" s="82">
        <f t="shared" si="18"/>
        <v>57.352000000000004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7">
        <f t="shared" si="1"/>
        <v>-5.2239987335760407E-3</v>
      </c>
    </row>
    <row r="45" spans="1:31" x14ac:dyDescent="0.25">
      <c r="O45" s="82">
        <v>1.06</v>
      </c>
      <c r="P45" s="82">
        <f t="shared" si="18"/>
        <v>56.816000000000003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7">
        <f t="shared" si="1"/>
        <v>1.1093502377179654E-3</v>
      </c>
    </row>
    <row r="46" spans="1:31" x14ac:dyDescent="0.25">
      <c r="O46" s="82">
        <v>1.05</v>
      </c>
      <c r="P46" s="82">
        <f t="shared" si="18"/>
        <v>56.28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7">
        <f t="shared" si="1"/>
        <v>1.5850372483749986E-4</v>
      </c>
    </row>
    <row r="47" spans="1:31" x14ac:dyDescent="0.25">
      <c r="O47" s="82">
        <v>1.04</v>
      </c>
      <c r="P47" s="82">
        <f t="shared" si="18"/>
        <v>55.744000000000007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7">
        <f t="shared" si="1"/>
        <v>-1.2521521364845745E-2</v>
      </c>
    </row>
    <row r="48" spans="1:31" x14ac:dyDescent="0.25">
      <c r="O48" s="82">
        <v>1.03</v>
      </c>
      <c r="P48" s="82">
        <f t="shared" si="18"/>
        <v>55.208000000000006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7">
        <f t="shared" si="1"/>
        <v>5.6666141980166174E-3</v>
      </c>
    </row>
    <row r="49" spans="15:31" x14ac:dyDescent="0.25">
      <c r="O49" s="82">
        <v>1.02</v>
      </c>
      <c r="P49" s="82">
        <f t="shared" si="18"/>
        <v>54.672000000000004</v>
      </c>
      <c r="Q49" s="2"/>
      <c r="T49" s="92" t="s">
        <v>104</v>
      </c>
      <c r="U49" s="129" t="s">
        <v>522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7">
        <f t="shared" si="1"/>
        <v>6.4955640050696761E-3</v>
      </c>
    </row>
    <row r="50" spans="15:31" x14ac:dyDescent="0.25">
      <c r="O50" s="82">
        <v>1.01</v>
      </c>
      <c r="P50" s="82">
        <f t="shared" si="18"/>
        <v>54.136000000000003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7">
        <f t="shared" si="1"/>
        <v>-7.2349795533186434E-3</v>
      </c>
    </row>
    <row r="51" spans="15:31" x14ac:dyDescent="0.25">
      <c r="O51" s="82">
        <v>1</v>
      </c>
      <c r="P51" s="82">
        <f t="shared" si="18"/>
        <v>53.6</v>
      </c>
      <c r="Q51" s="2"/>
      <c r="T51" s="92" t="s">
        <v>105</v>
      </c>
      <c r="U51" s="129" t="s">
        <v>729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7">
        <f t="shared" si="1"/>
        <v>-1.2886197795373366E-2</v>
      </c>
    </row>
    <row r="52" spans="15:31" x14ac:dyDescent="0.25">
      <c r="O52" s="82">
        <v>0.99</v>
      </c>
      <c r="P52" s="82">
        <f t="shared" si="18"/>
        <v>53.064</v>
      </c>
      <c r="Q52" s="2"/>
      <c r="T52" s="92" t="s">
        <v>106</v>
      </c>
      <c r="U52" s="129" t="s">
        <v>730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7">
        <f t="shared" si="1"/>
        <v>9.2447508617987673E-3</v>
      </c>
    </row>
    <row r="53" spans="15:31" x14ac:dyDescent="0.25">
      <c r="O53" s="82">
        <v>0.98</v>
      </c>
      <c r="P53" s="82">
        <f t="shared" si="18"/>
        <v>52.527999999999999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7">
        <f t="shared" si="1"/>
        <v>8.69290342974538E-3</v>
      </c>
    </row>
    <row r="54" spans="15:31" x14ac:dyDescent="0.25">
      <c r="O54" s="82">
        <v>0.97</v>
      </c>
      <c r="P54" s="82">
        <f t="shared" si="18"/>
        <v>51.991999999999997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7">
        <f t="shared" si="1"/>
        <v>-3.7789324515823397E-3</v>
      </c>
    </row>
    <row r="55" spans="15:31" x14ac:dyDescent="0.25">
      <c r="O55" s="82">
        <v>0.96</v>
      </c>
      <c r="P55" s="82">
        <f t="shared" si="18"/>
        <v>51.455999999999996</v>
      </c>
      <c r="T55" s="92" t="s">
        <v>108</v>
      </c>
      <c r="U55" s="129" t="s">
        <v>731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7">
        <f t="shared" si="1"/>
        <v>-1.9756135206050462E-2</v>
      </c>
    </row>
    <row r="56" spans="15:31" x14ac:dyDescent="0.25">
      <c r="O56" s="82">
        <v>0.95</v>
      </c>
      <c r="P56" s="82">
        <f t="shared" si="18"/>
        <v>50.92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7">
        <f t="shared" si="1"/>
        <v>-2.189009661835728E-2</v>
      </c>
    </row>
    <row r="57" spans="15:31" x14ac:dyDescent="0.25">
      <c r="O57" s="82">
        <v>0.94</v>
      </c>
      <c r="P57" s="82">
        <f t="shared" si="18"/>
        <v>50.384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7">
        <f t="shared" si="1"/>
        <v>-5.7618437900128217E-2</v>
      </c>
    </row>
    <row r="58" spans="15:31" x14ac:dyDescent="0.25">
      <c r="O58" s="82">
        <v>0.93</v>
      </c>
      <c r="P58" s="82">
        <f t="shared" si="18"/>
        <v>49.848000000000006</v>
      </c>
      <c r="T58" s="92" t="s">
        <v>109</v>
      </c>
      <c r="U58" s="129" t="s">
        <v>616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7">
        <f t="shared" si="1"/>
        <v>1.0639827462257445E-2</v>
      </c>
    </row>
    <row r="59" spans="15:31" x14ac:dyDescent="0.25">
      <c r="O59" s="82">
        <v>0.92</v>
      </c>
      <c r="P59" s="82">
        <f t="shared" si="18"/>
        <v>49.312000000000005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7">
        <f t="shared" si="1"/>
        <v>-1.4872521246458881E-2</v>
      </c>
    </row>
    <row r="60" spans="15:31" x14ac:dyDescent="0.25">
      <c r="O60" s="82">
        <v>0.91</v>
      </c>
      <c r="P60" s="82">
        <f t="shared" si="18"/>
        <v>48.776000000000003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7">
        <f t="shared" si="1"/>
        <v>-5.0732807215332354E-3</v>
      </c>
    </row>
    <row r="61" spans="15:31" x14ac:dyDescent="0.25">
      <c r="O61" s="82">
        <v>0.9</v>
      </c>
      <c r="P61" s="82">
        <f t="shared" si="18"/>
        <v>48.24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7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7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7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7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7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7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7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83" priority="25">
      <formula>Q7&gt;0</formula>
    </cfRule>
    <cfRule type="expression" dxfId="382" priority="26">
      <formula>Q7&lt;0</formula>
    </cfRule>
  </conditionalFormatting>
  <conditionalFormatting sqref="Q8">
    <cfRule type="expression" dxfId="381" priority="23">
      <formula>Q8&gt;0</formula>
    </cfRule>
    <cfRule type="expression" dxfId="380" priority="24">
      <formula>Q8&lt;0</formula>
    </cfRule>
  </conditionalFormatting>
  <conditionalFormatting sqref="F24:F33">
    <cfRule type="expression" dxfId="379" priority="7">
      <formula>F24&gt;0</formula>
    </cfRule>
    <cfRule type="expression" dxfId="378" priority="8">
      <formula>F24&lt;0</formula>
    </cfRule>
  </conditionalFormatting>
  <conditionalFormatting sqref="H24:H37">
    <cfRule type="expression" dxfId="377" priority="5">
      <formula>H24&gt;0</formula>
    </cfRule>
    <cfRule type="expression" dxfId="376" priority="6">
      <formula>H24&lt;0</formula>
    </cfRule>
  </conditionalFormatting>
  <conditionalFormatting sqref="J29">
    <cfRule type="expression" dxfId="375" priority="3">
      <formula>J29&gt;0</formula>
    </cfRule>
    <cfRule type="expression" dxfId="374" priority="4">
      <formula>J29&lt;0</formula>
    </cfRule>
  </conditionalFormatting>
  <conditionalFormatting sqref="J30:J35">
    <cfRule type="expression" dxfId="373" priority="1">
      <formula>J30&gt;0</formula>
    </cfRule>
    <cfRule type="expression" dxfId="372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7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46.27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7">
        <f t="shared" ref="AE3:AE66" si="1">AC3/AC4-1</f>
        <v>-1.7028522775649146E-2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46.27</v>
      </c>
      <c r="R4" s="499">
        <v>-4.3E-3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7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7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7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7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7">
        <f t="shared" si="1"/>
        <v>-2.0959966464051405E-4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7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7">
        <f t="shared" si="1"/>
        <v>-4.5938609313008749E-3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7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7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7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7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7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7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7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7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7">
        <f t="shared" si="1"/>
        <v>-2.4655845490035855E-3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7">
        <f t="shared" si="1"/>
        <v>4.7481420313790768E-3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7">
        <f t="shared" si="1"/>
        <v>-6.3589743589743675E-3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7">
        <f t="shared" si="1"/>
        <v>4.5332783845044577E-3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7">
        <f t="shared" si="1"/>
        <v>-9.1874234381379427E-3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7">
        <f t="shared" si="1"/>
        <v>-7.2963113092826548E-3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7">
        <f t="shared" si="1"/>
        <v>2.0271639975688593E-4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7">
        <f t="shared" si="1"/>
        <v>-5.4435483870968193E-3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7">
        <f t="shared" si="1"/>
        <v>1.162553538649802E-2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7">
        <f t="shared" si="1"/>
        <v>-9.2948070317235842E-3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7">
        <f t="shared" si="1"/>
        <v>1.6848161084857205E-2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7" t="e">
        <f t="shared" si="1"/>
        <v>#DIV/0!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7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7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7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7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7">
        <f t="shared" si="1"/>
        <v>-8.2837723024639098E-3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7">
        <f t="shared" si="1"/>
        <v>-5.4921841994086673E-3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7">
        <f t="shared" si="1"/>
        <v>1.0027736291871259E-2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7">
        <f t="shared" si="1"/>
        <v>1.4957264957264904E-3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7">
        <f t="shared" si="1"/>
        <v>1.4304291287386084E-2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7">
        <f t="shared" si="1"/>
        <v>3.4797738147021029E-3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7">
        <f t="shared" si="1"/>
        <v>1.4115571239523561E-2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50.897000000000006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7">
        <f t="shared" si="1"/>
        <v>2.9284903518728811E-2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50.434300000000007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7">
        <f t="shared" si="1"/>
        <v>-5.6745182012848061E-2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49.971600000000009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7">
        <f t="shared" si="1"/>
        <v>-1.9319613607727715E-2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49.508900000000004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7">
        <f t="shared" si="1"/>
        <v>7.6174354633939956E-3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49.046200000000006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7">
        <f t="shared" si="1"/>
        <v>2.545608824777279E-3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48.583500000000008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7">
        <f t="shared" si="1"/>
        <v>2.2781514428292349E-2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48.120800000000003</v>
      </c>
      <c r="Q49" s="82"/>
      <c r="R49" s="34"/>
      <c r="T49" s="92" t="s">
        <v>104</v>
      </c>
      <c r="U49" s="87" t="s">
        <v>617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7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47.658100000000005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7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47.195400000000006</v>
      </c>
      <c r="Q51" s="82"/>
      <c r="R51" s="34"/>
      <c r="T51" s="92" t="s">
        <v>105</v>
      </c>
      <c r="U51" s="87" t="s">
        <v>732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7">
        <f t="shared" si="1"/>
        <v>-1.2197731649903676E-2</v>
      </c>
    </row>
    <row r="52" spans="1:31" x14ac:dyDescent="0.25">
      <c r="O52" s="82">
        <v>1.01</v>
      </c>
      <c r="P52" s="82">
        <f t="shared" si="5"/>
        <v>46.732700000000001</v>
      </c>
      <c r="Q52" s="82"/>
      <c r="R52" s="34"/>
      <c r="T52" s="92" t="s">
        <v>106</v>
      </c>
      <c r="U52" s="87" t="s">
        <v>588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7">
        <f t="shared" si="1"/>
        <v>-5.5330921472654948E-3</v>
      </c>
    </row>
    <row r="53" spans="1:31" x14ac:dyDescent="0.25">
      <c r="O53" s="82">
        <v>1</v>
      </c>
      <c r="P53" s="82">
        <f t="shared" si="5"/>
        <v>46.27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7">
        <f t="shared" si="1"/>
        <v>1.6439541423318271E-2</v>
      </c>
    </row>
    <row r="54" spans="1:31" x14ac:dyDescent="0.25">
      <c r="O54" s="82">
        <v>0.99</v>
      </c>
      <c r="P54" s="82">
        <f t="shared" si="5"/>
        <v>45.807300000000005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7">
        <f t="shared" si="1"/>
        <v>7.4090215733273457E-3</v>
      </c>
    </row>
    <row r="55" spans="1:31" x14ac:dyDescent="0.25">
      <c r="O55" s="82">
        <v>0.98</v>
      </c>
      <c r="P55" s="82">
        <f t="shared" si="5"/>
        <v>45.3446</v>
      </c>
      <c r="Q55" s="82"/>
      <c r="T55" s="92" t="s">
        <v>108</v>
      </c>
      <c r="U55" s="87" t="s">
        <v>733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7">
        <f t="shared" si="1"/>
        <v>2.4027959807775279E-3</v>
      </c>
    </row>
    <row r="56" spans="1:31" x14ac:dyDescent="0.25">
      <c r="O56" s="82">
        <v>0.97</v>
      </c>
      <c r="P56" s="82">
        <f t="shared" si="5"/>
        <v>44.881900000000002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7">
        <f t="shared" si="1"/>
        <v>-3.3361486486486402E-2</v>
      </c>
    </row>
    <row r="57" spans="1:31" x14ac:dyDescent="0.25">
      <c r="O57" s="82">
        <v>0.96</v>
      </c>
      <c r="P57" s="82">
        <f t="shared" si="5"/>
        <v>44.419200000000004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7">
        <f t="shared" si="1"/>
        <v>-3.3670033670034627E-3</v>
      </c>
    </row>
    <row r="58" spans="1:31" x14ac:dyDescent="0.25">
      <c r="O58" s="82">
        <v>0.95</v>
      </c>
      <c r="P58" s="82">
        <f t="shared" si="5"/>
        <v>43.956499999999998</v>
      </c>
      <c r="Q58" s="82"/>
      <c r="T58" s="92" t="s">
        <v>109</v>
      </c>
      <c r="U58" s="87" t="s">
        <v>618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7">
        <f t="shared" si="1"/>
        <v>1.5167699209570618E-2</v>
      </c>
    </row>
    <row r="59" spans="1:31" x14ac:dyDescent="0.25">
      <c r="O59" s="82">
        <v>0.94</v>
      </c>
      <c r="P59" s="82">
        <f t="shared" si="5"/>
        <v>43.4938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7">
        <f t="shared" si="1"/>
        <v>-2.5569997869165917E-3</v>
      </c>
    </row>
    <row r="60" spans="1:31" x14ac:dyDescent="0.25">
      <c r="O60" s="82">
        <v>0.93</v>
      </c>
      <c r="P60" s="82">
        <f t="shared" si="5"/>
        <v>43.031100000000002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7">
        <f t="shared" si="1"/>
        <v>5.1402869993575351E-3</v>
      </c>
    </row>
    <row r="61" spans="1:31" x14ac:dyDescent="0.25">
      <c r="O61" s="82">
        <v>0.92</v>
      </c>
      <c r="P61" s="82">
        <f t="shared" si="5"/>
        <v>42.568400000000004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7">
        <f t="shared" si="1"/>
        <v>-1.923899102180493E-3</v>
      </c>
    </row>
    <row r="62" spans="1:31" x14ac:dyDescent="0.25">
      <c r="O62" s="82">
        <v>0.91</v>
      </c>
      <c r="P62" s="82">
        <f t="shared" si="5"/>
        <v>42.105700000000006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7">
        <f t="shared" si="1"/>
        <v>6.4171122994660657E-4</v>
      </c>
    </row>
    <row r="63" spans="1:31" x14ac:dyDescent="0.25">
      <c r="O63" s="82">
        <v>0.9</v>
      </c>
      <c r="P63" s="82">
        <f t="shared" si="5"/>
        <v>41.643000000000001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7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7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7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7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7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71" priority="33">
      <formula>F25&gt;0</formula>
    </cfRule>
    <cfRule type="expression" dxfId="370" priority="34">
      <formula>F25&lt;0</formula>
    </cfRule>
  </conditionalFormatting>
  <conditionalFormatting sqref="H25:H27">
    <cfRule type="expression" dxfId="369" priority="31">
      <formula>H25&gt;0</formula>
    </cfRule>
    <cfRule type="expression" dxfId="368" priority="32">
      <formula>H25&lt;0</formula>
    </cfRule>
  </conditionalFormatting>
  <conditionalFormatting sqref="H28">
    <cfRule type="expression" dxfId="367" priority="29">
      <formula>H28&gt;0</formula>
    </cfRule>
    <cfRule type="expression" dxfId="366" priority="30">
      <formula>H28&lt;0</formula>
    </cfRule>
  </conditionalFormatting>
  <conditionalFormatting sqref="H29">
    <cfRule type="expression" dxfId="365" priority="27">
      <formula>H29&gt;0</formula>
    </cfRule>
    <cfRule type="expression" dxfId="364" priority="28">
      <formula>H29&lt;0</formula>
    </cfRule>
  </conditionalFormatting>
  <conditionalFormatting sqref="H30:H34">
    <cfRule type="expression" dxfId="363" priority="25">
      <formula>H30&gt;0</formula>
    </cfRule>
    <cfRule type="expression" dxfId="362" priority="26">
      <formula>H30&lt;0</formula>
    </cfRule>
  </conditionalFormatting>
  <conditionalFormatting sqref="F21:F24">
    <cfRule type="expression" dxfId="361" priority="23">
      <formula>F21&gt;0</formula>
    </cfRule>
    <cfRule type="expression" dxfId="360" priority="24">
      <formula>F21&lt;0</formula>
    </cfRule>
  </conditionalFormatting>
  <conditionalFormatting sqref="H21:H24">
    <cfRule type="expression" dxfId="359" priority="21">
      <formula>H21&gt;0</formula>
    </cfRule>
    <cfRule type="expression" dxfId="358" priority="22">
      <formula>H21&lt;0</formula>
    </cfRule>
  </conditionalFormatting>
  <conditionalFormatting sqref="F30:F31">
    <cfRule type="expression" dxfId="357" priority="17">
      <formula>F30&gt;0</formula>
    </cfRule>
    <cfRule type="expression" dxfId="356" priority="18">
      <formula>F30&lt;0</formula>
    </cfRule>
  </conditionalFormatting>
  <conditionalFormatting sqref="I25:I27">
    <cfRule type="expression" dxfId="355" priority="15">
      <formula>I25&gt;0</formula>
    </cfRule>
    <cfRule type="expression" dxfId="354" priority="16">
      <formula>I25&lt;0</formula>
    </cfRule>
  </conditionalFormatting>
  <conditionalFormatting sqref="I28">
    <cfRule type="expression" dxfId="353" priority="13">
      <formula>I28&gt;0</formula>
    </cfRule>
    <cfRule type="expression" dxfId="352" priority="14">
      <formula>I28&lt;0</formula>
    </cfRule>
  </conditionalFormatting>
  <conditionalFormatting sqref="I29">
    <cfRule type="expression" dxfId="351" priority="11">
      <formula>I29&gt;0</formula>
    </cfRule>
    <cfRule type="expression" dxfId="350" priority="12">
      <formula>I29&lt;0</formula>
    </cfRule>
  </conditionalFormatting>
  <conditionalFormatting sqref="I30:I34">
    <cfRule type="expression" dxfId="349" priority="9">
      <formula>I30&gt;0</formula>
    </cfRule>
    <cfRule type="expression" dxfId="348" priority="10">
      <formula>I30&lt;0</formula>
    </cfRule>
  </conditionalFormatting>
  <conditionalFormatting sqref="I21:I24">
    <cfRule type="expression" dxfId="347" priority="7">
      <formula>I21&gt;0</formula>
    </cfRule>
    <cfRule type="expression" dxfId="346" priority="8">
      <formula>I21&lt;0</formula>
    </cfRule>
  </conditionalFormatting>
  <conditionalFormatting sqref="F32">
    <cfRule type="expression" dxfId="345" priority="5">
      <formula>F32&gt;0</formula>
    </cfRule>
    <cfRule type="expression" dxfId="344" priority="6">
      <formula>F32&lt;0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7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36.9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7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36.9</v>
      </c>
      <c r="R4" s="499">
        <v>-1.1299999999999999E-2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7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7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7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7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7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7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7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7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7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7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7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7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7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7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7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7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7">
        <f t="shared" si="1"/>
        <v>1.0696653867251715E-2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7">
        <f t="shared" si="1"/>
        <v>1.6483516483516425E-3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7">
        <f t="shared" si="1"/>
        <v>1.0549694614103045E-2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7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7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7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7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7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7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7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7">
        <f t="shared" si="1"/>
        <v>5.3648068669520654E-4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7">
        <f t="shared" si="1"/>
        <v>-1.6877637130801704E-2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7">
        <f t="shared" si="1"/>
        <v>-1.018010963194993E-2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7">
        <f t="shared" si="1"/>
        <v>2.6109660574435978E-4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7">
        <f t="shared" si="1"/>
        <v>2.3554043444122819E-3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7">
        <f t="shared" si="1"/>
        <v>4.2049934296979341E-3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7">
        <f t="shared" si="1"/>
        <v>-1.312335958005395E-3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7">
        <f t="shared" si="1"/>
        <v>1.3297872340425565E-2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7">
        <f t="shared" si="1"/>
        <v>-2.0323084940072955E-2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7">
        <f t="shared" si="1"/>
        <v>2.8743140841389625E-3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7">
        <f t="shared" si="1"/>
        <v>1.0562450488513564E-2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7">
        <f t="shared" si="1"/>
        <v>2.8517110266159662E-2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7">
        <f t="shared" si="1"/>
        <v>-0.1080426356589147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40.590000000000003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7">
        <f t="shared" si="1"/>
        <v>6.3383715260847406E-3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40.221000000000004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7">
        <f t="shared" si="1"/>
        <v>3.1792614331132008E-3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39.852000000000004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7">
        <f t="shared" si="1"/>
        <v>-1.0885341074020394E-2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39.483000000000004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7">
        <f t="shared" si="1"/>
        <v>-3.4337771548703544E-2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39.113999999999997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7">
        <f t="shared" si="1"/>
        <v>2.4407753050969205E-2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38.744999999999997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7">
        <f t="shared" si="1"/>
        <v>6.2605345533348622E-3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38.375999999999998</v>
      </c>
      <c r="Q49" s="34"/>
      <c r="R49" s="34"/>
      <c r="T49" s="92" t="s">
        <v>122</v>
      </c>
      <c r="U49" s="87" t="s">
        <v>509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7">
        <f t="shared" si="1"/>
        <v>-1.2601046124583903E-2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38.006999999999998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7">
        <f t="shared" si="1"/>
        <v>-1.7289719626168099E-2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37.637999999999998</v>
      </c>
      <c r="Q51" s="82"/>
      <c r="R51" s="34"/>
      <c r="T51" s="92" t="s">
        <v>105</v>
      </c>
      <c r="U51" s="87" t="s">
        <v>734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7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37.268999999999998</v>
      </c>
      <c r="Q52" s="82"/>
      <c r="R52" s="34"/>
      <c r="T52" s="92" t="s">
        <v>106</v>
      </c>
      <c r="U52" s="87" t="s">
        <v>554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7">
        <f t="shared" si="1"/>
        <v>1.9736842105263053E-2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36.9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7">
        <f t="shared" si="1"/>
        <v>2.3551577955722713E-3</v>
      </c>
    </row>
    <row r="54" spans="1:31" x14ac:dyDescent="0.25">
      <c r="O54" s="82">
        <v>0.99</v>
      </c>
      <c r="P54" s="82">
        <f t="shared" si="4"/>
        <v>36.530999999999999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7">
        <f t="shared" si="1"/>
        <v>1.023078753271478E-2</v>
      </c>
    </row>
    <row r="55" spans="1:31" x14ac:dyDescent="0.25">
      <c r="O55" s="82">
        <v>0.98</v>
      </c>
      <c r="P55" s="82">
        <f t="shared" si="4"/>
        <v>36.161999999999999</v>
      </c>
      <c r="Q55" s="82"/>
      <c r="R55" s="34"/>
      <c r="T55" s="92" t="s">
        <v>108</v>
      </c>
      <c r="U55" s="87" t="s">
        <v>735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7">
        <f t="shared" si="1"/>
        <v>-2.7758501040943684E-2</v>
      </c>
    </row>
    <row r="56" spans="1:31" x14ac:dyDescent="0.25">
      <c r="O56" s="82">
        <v>0.97</v>
      </c>
      <c r="P56" s="82">
        <f t="shared" si="4"/>
        <v>35.792999999999999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7">
        <f t="shared" si="1"/>
        <v>-7.5757575757576801E-3</v>
      </c>
    </row>
    <row r="57" spans="1:31" x14ac:dyDescent="0.25">
      <c r="O57" s="82">
        <v>0.96</v>
      </c>
      <c r="P57" s="82">
        <f t="shared" si="4"/>
        <v>35.423999999999999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7">
        <f t="shared" si="1"/>
        <v>2.7600849256900206E-2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35.055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7">
        <f t="shared" si="1"/>
        <v>-6.096131301289498E-3</v>
      </c>
    </row>
    <row r="59" spans="1:31" x14ac:dyDescent="0.25">
      <c r="A59" t="s">
        <v>361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34.686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7">
        <f t="shared" si="1"/>
        <v>-5.1317937951947945E-3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34.317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7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33.948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7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33.579000000000001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7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33.21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7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7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7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7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7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80.31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7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80.31</v>
      </c>
      <c r="R4" s="499">
        <v>-1.46E-2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7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7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7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7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7">
        <f t="shared" si="1"/>
        <v>9.8655814527068841E-3</v>
      </c>
    </row>
    <row r="9" spans="1:32" x14ac:dyDescent="0.25">
      <c r="O9" s="11" t="s">
        <v>213</v>
      </c>
      <c r="Q9" s="137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7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7">
        <f t="shared" si="1"/>
        <v>-3.3226679793257885E-3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7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7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7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7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7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7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7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7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7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7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7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7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7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7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7">
        <f t="shared" si="1"/>
        <v>1.345565749235389E-3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7">
        <f t="shared" si="1"/>
        <v>-1.1367759100253894E-2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7">
        <f t="shared" si="1"/>
        <v>6.4508276533592479E-3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7">
        <f t="shared" si="1"/>
        <v>1.0081140890090934E-2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7">
        <f t="shared" si="1"/>
        <v>5.3145470275615114E-3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7" t="e">
        <f t="shared" si="1"/>
        <v>#DIV/0!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42790</v>
      </c>
      <c r="Y31" s="9" t="s">
        <v>484</v>
      </c>
      <c r="Z31" s="9"/>
      <c r="AA31" s="9"/>
      <c r="AB31" s="9"/>
      <c r="AC31" s="103"/>
      <c r="AD31" s="9"/>
      <c r="AE31" s="2">
        <f t="shared" si="0"/>
        <v>0</v>
      </c>
      <c r="AF31" s="137">
        <f t="shared" si="1"/>
        <v>-1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7">
        <f t="shared" si="1"/>
        <v>-3.740182022190508E-4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7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7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7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88.341000000000008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7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87.537900000000008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7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86.734800000000007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7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85.931700000000006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7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85.128600000000006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7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84.325500000000005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7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83.522400000000005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7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82.719300000000004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7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81.916200000000003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7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81.113100000000003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7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80.31</v>
      </c>
      <c r="Q46" s="2"/>
      <c r="T46" s="112" t="s">
        <v>104</v>
      </c>
      <c r="U46" s="105" t="s">
        <v>422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7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79.506900000000002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7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78.703800000000001</v>
      </c>
      <c r="Q48" s="2"/>
      <c r="T48" s="112" t="s">
        <v>105</v>
      </c>
      <c r="U48" s="105" t="s">
        <v>736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7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77.900700000000001</v>
      </c>
      <c r="T49" s="112" t="s">
        <v>106</v>
      </c>
      <c r="U49" s="105" t="s">
        <v>568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7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77.0976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7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76.294499999999999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7">
        <f t="shared" si="1"/>
        <v>5.5970149253730117E-3</v>
      </c>
    </row>
    <row r="52" spans="1:32" x14ac:dyDescent="0.25">
      <c r="O52" s="82">
        <v>0.94</v>
      </c>
      <c r="P52" s="82">
        <f t="shared" si="3"/>
        <v>75.491399999999999</v>
      </c>
      <c r="T52" s="112" t="s">
        <v>108</v>
      </c>
      <c r="U52" s="105" t="s">
        <v>737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7">
        <f t="shared" si="1"/>
        <v>1.2275731822474212E-2</v>
      </c>
    </row>
    <row r="53" spans="1:32" x14ac:dyDescent="0.25">
      <c r="O53" s="82">
        <v>0.93</v>
      </c>
      <c r="P53" s="82">
        <f t="shared" si="3"/>
        <v>74.688300000000012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7">
        <f t="shared" si="1"/>
        <v>4.3354559002843907E-3</v>
      </c>
    </row>
    <row r="54" spans="1:32" x14ac:dyDescent="0.25">
      <c r="O54" s="82">
        <v>0.92</v>
      </c>
      <c r="P54" s="82">
        <f t="shared" si="3"/>
        <v>73.885200000000012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7">
        <f t="shared" si="1"/>
        <v>-5.2560646900269292E-3</v>
      </c>
    </row>
    <row r="55" spans="1:32" x14ac:dyDescent="0.25">
      <c r="O55" s="82">
        <v>0.91</v>
      </c>
      <c r="P55" s="82">
        <f t="shared" si="3"/>
        <v>73.082100000000011</v>
      </c>
      <c r="T55" s="112" t="s">
        <v>109</v>
      </c>
      <c r="U55" s="105" t="s">
        <v>619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7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72.279000000000011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7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7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7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7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7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7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7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7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7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7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7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7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7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112.85</v>
      </c>
      <c r="W3" s="156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7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112.85</v>
      </c>
      <c r="R4" s="499">
        <v>-3.0000000000000001E-3</v>
      </c>
      <c r="W4" s="156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7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7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7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7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7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7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7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7">
        <f t="shared" si="1"/>
        <v>-1.0915272434463663E-2</v>
      </c>
    </row>
    <row r="12" spans="1:31" x14ac:dyDescent="0.25">
      <c r="W12" s="156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7">
        <f t="shared" si="1"/>
        <v>2.421524663677177E-3</v>
      </c>
    </row>
    <row r="13" spans="1:31" x14ac:dyDescent="0.25">
      <c r="W13" s="156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7">
        <f t="shared" si="1"/>
        <v>-2.9083942877046409E-2</v>
      </c>
    </row>
    <row r="14" spans="1:31" x14ac:dyDescent="0.25">
      <c r="W14" s="156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7">
        <f t="shared" si="1"/>
        <v>1.1332926510330132E-3</v>
      </c>
    </row>
    <row r="15" spans="1:31" x14ac:dyDescent="0.25">
      <c r="W15" s="156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7">
        <f t="shared" si="1"/>
        <v>-5.5483311660164958E-3</v>
      </c>
    </row>
    <row r="16" spans="1:31" x14ac:dyDescent="0.25">
      <c r="W16" s="156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7">
        <f t="shared" si="1"/>
        <v>-1.838141434771523E-2</v>
      </c>
    </row>
    <row r="17" spans="1:31" x14ac:dyDescent="0.25">
      <c r="W17" s="156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7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7">
        <f t="shared" si="1"/>
        <v>-9.8719986614239641E-3</v>
      </c>
    </row>
    <row r="19" spans="1:31" x14ac:dyDescent="0.25">
      <c r="W19" s="156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7">
        <f t="shared" si="1"/>
        <v>-1.0864114992478191E-3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7">
        <f t="shared" si="1"/>
        <v>2.177554438860918E-3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7">
        <f t="shared" si="1"/>
        <v>-3.9209143238507771E-3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7">
        <f t="shared" si="1"/>
        <v>-1.7459016393442606E-2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7">
        <f t="shared" si="1"/>
        <v>-7.5652810542585769E-3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7">
        <f t="shared" si="1"/>
        <v>4.3300653594771088E-3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7">
        <f t="shared" si="1"/>
        <v>5.1736881005175483E-3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7">
        <f t="shared" si="1"/>
        <v>-1.2809079854073757E-2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7">
        <f t="shared" si="1"/>
        <v>1.916880112368835E-2</v>
      </c>
    </row>
    <row r="28" spans="1:31" x14ac:dyDescent="0.25">
      <c r="W28" s="156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7">
        <f t="shared" si="1"/>
        <v>-7.43064729194165E-4</v>
      </c>
    </row>
    <row r="29" spans="1:31" x14ac:dyDescent="0.25">
      <c r="W29" s="156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7">
        <f t="shared" si="1"/>
        <v>8.6608927381746081E-3</v>
      </c>
    </row>
    <row r="30" spans="1:31" x14ac:dyDescent="0.25">
      <c r="W30" s="156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7">
        <f t="shared" si="1"/>
        <v>4.1656252603505806E-4</v>
      </c>
    </row>
    <row r="31" spans="1:31" x14ac:dyDescent="0.25">
      <c r="W31" s="156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7">
        <f t="shared" si="1"/>
        <v>-1.8721386527141837E-2</v>
      </c>
    </row>
    <row r="32" spans="1:31" x14ac:dyDescent="0.25">
      <c r="W32" s="156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7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6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7">
        <f t="shared" si="1"/>
        <v>6.1084867242222618E-3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7">
        <f t="shared" si="1"/>
        <v>-1.2202066216546736E-3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7">
        <f t="shared" si="1"/>
        <v>1.7928449189146267E-3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7">
        <f t="shared" si="1"/>
        <v>1.7960649848967059E-3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7">
        <f t="shared" si="1"/>
        <v>2.2911382047294815E-3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7">
        <f t="shared" si="1"/>
        <v>8.9993394980183439E-3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7">
        <f t="shared" si="1"/>
        <v>3.8955656858681298E-3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7">
        <f t="shared" si="1"/>
        <v>-2.3978832478914747E-3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7">
        <f t="shared" si="1"/>
        <v>4.9636002647246436E-4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7">
        <f t="shared" si="1"/>
        <v>8.4257946108283743E-3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124.13500000000001</v>
      </c>
      <c r="Q43" s="2"/>
      <c r="R43" s="34"/>
      <c r="T43" s="10" t="s">
        <v>98</v>
      </c>
      <c r="U43" s="87">
        <v>115.19</v>
      </c>
      <c r="W43" s="156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7">
        <f t="shared" si="1"/>
        <v>-4.897891416237643E-3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123.0065</v>
      </c>
      <c r="Q44" s="2"/>
      <c r="R44" s="34"/>
      <c r="T44" s="10" t="s">
        <v>99</v>
      </c>
      <c r="U44" s="87">
        <v>115.59</v>
      </c>
      <c r="W44" s="156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7">
        <f t="shared" si="1"/>
        <v>8.28659914622909E-3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121.878</v>
      </c>
      <c r="Q45" s="2"/>
      <c r="R45" s="34"/>
      <c r="T45" s="10" t="s">
        <v>100</v>
      </c>
      <c r="U45" s="87" t="s">
        <v>129</v>
      </c>
      <c r="W45" s="156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7">
        <f t="shared" si="1"/>
        <v>-3.8355707496040559E-3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120.7495</v>
      </c>
      <c r="Q46" s="2"/>
      <c r="R46" s="34"/>
      <c r="T46" s="10" t="s">
        <v>101</v>
      </c>
      <c r="U46" s="87" t="s">
        <v>129</v>
      </c>
      <c r="W46" s="156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7" t="e">
        <f t="shared" si="1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119.621</v>
      </c>
      <c r="Q47" s="2"/>
      <c r="R47" s="34"/>
      <c r="T47" s="10" t="s">
        <v>102</v>
      </c>
      <c r="U47" s="87">
        <v>119.17</v>
      </c>
      <c r="W47" s="156">
        <v>42767</v>
      </c>
      <c r="X47" s="40" t="s">
        <v>417</v>
      </c>
      <c r="Y47" s="40"/>
      <c r="Z47" s="40"/>
      <c r="AA47" s="40"/>
      <c r="AB47" s="94"/>
      <c r="AC47" s="40"/>
      <c r="AD47" s="2">
        <f t="shared" si="0"/>
        <v>0</v>
      </c>
      <c r="AE47" s="137">
        <f t="shared" si="1"/>
        <v>-1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118.49249999999999</v>
      </c>
      <c r="Q48" s="2"/>
      <c r="R48" s="34"/>
      <c r="T48" s="10" t="s">
        <v>103</v>
      </c>
      <c r="U48" s="87">
        <v>1.4616</v>
      </c>
      <c r="W48" s="156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7">
        <f t="shared" si="1"/>
        <v>-1.8149735316360105E-2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117.364</v>
      </c>
      <c r="Q49" s="2"/>
      <c r="R49" s="34"/>
      <c r="T49" s="10" t="s">
        <v>104</v>
      </c>
      <c r="U49" s="87" t="s">
        <v>705</v>
      </c>
      <c r="W49" s="156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7">
        <f t="shared" si="1"/>
        <v>-5.9305045105244591E-3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116.2355</v>
      </c>
      <c r="Q50" s="2"/>
      <c r="R50" s="34"/>
      <c r="T50" s="10"/>
      <c r="U50" s="87"/>
      <c r="W50" s="156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7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115.107</v>
      </c>
      <c r="Q51" s="2"/>
      <c r="R51" s="34"/>
      <c r="T51" s="10" t="s">
        <v>105</v>
      </c>
      <c r="U51" s="87" t="s">
        <v>706</v>
      </c>
      <c r="W51" s="156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7">
        <f t="shared" si="1"/>
        <v>-8.4236864053378602E-3</v>
      </c>
    </row>
    <row r="52" spans="1:31" x14ac:dyDescent="0.25">
      <c r="O52" s="82">
        <v>1.01</v>
      </c>
      <c r="P52" s="82">
        <f t="shared" si="3"/>
        <v>113.9785</v>
      </c>
      <c r="Q52" s="2"/>
      <c r="R52" s="34"/>
      <c r="T52" s="10" t="s">
        <v>106</v>
      </c>
      <c r="U52" s="87" t="s">
        <v>556</v>
      </c>
      <c r="W52" s="156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7">
        <f t="shared" si="1"/>
        <v>3.3531592104129038E-2</v>
      </c>
    </row>
    <row r="53" spans="1:31" x14ac:dyDescent="0.25">
      <c r="O53" s="82">
        <v>1</v>
      </c>
      <c r="P53" s="82">
        <f t="shared" si="3"/>
        <v>112.85</v>
      </c>
      <c r="Q53" s="2"/>
      <c r="R53" s="34"/>
      <c r="T53" s="10" t="s">
        <v>107</v>
      </c>
      <c r="U53" s="89">
        <v>1726477</v>
      </c>
      <c r="W53" s="156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7">
        <f t="shared" si="1"/>
        <v>2.7000708215297653E-2</v>
      </c>
    </row>
    <row r="54" spans="1:31" x14ac:dyDescent="0.25">
      <c r="O54" s="82">
        <v>0.99</v>
      </c>
      <c r="P54" s="82">
        <f t="shared" si="3"/>
        <v>111.72149999999999</v>
      </c>
      <c r="Q54" s="2"/>
      <c r="R54" s="34"/>
      <c r="T54" s="10" t="s">
        <v>110</v>
      </c>
      <c r="U54" s="89">
        <v>2143790</v>
      </c>
      <c r="W54" s="156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7">
        <f t="shared" si="1"/>
        <v>-3.5398230088501403E-4</v>
      </c>
    </row>
    <row r="55" spans="1:31" x14ac:dyDescent="0.25">
      <c r="O55" s="82">
        <v>0.98</v>
      </c>
      <c r="P55" s="82">
        <f t="shared" si="3"/>
        <v>110.59299999999999</v>
      </c>
      <c r="Q55" s="2"/>
      <c r="R55" s="34"/>
      <c r="T55" s="10" t="s">
        <v>108</v>
      </c>
      <c r="U55" s="87" t="s">
        <v>707</v>
      </c>
      <c r="W55" s="156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7">
        <f t="shared" si="1"/>
        <v>-7.2915751559342601E-3</v>
      </c>
    </row>
    <row r="56" spans="1:31" x14ac:dyDescent="0.25">
      <c r="O56" s="82">
        <v>0.97</v>
      </c>
      <c r="P56" s="82">
        <f t="shared" si="3"/>
        <v>109.46449999999999</v>
      </c>
      <c r="T56" s="10" t="s">
        <v>111</v>
      </c>
      <c r="U56" s="87">
        <v>20.41</v>
      </c>
      <c r="W56" s="156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7">
        <f t="shared" si="1"/>
        <v>4.0493601462522788E-2</v>
      </c>
    </row>
    <row r="57" spans="1:31" x14ac:dyDescent="0.25">
      <c r="O57" s="82">
        <v>0.96</v>
      </c>
      <c r="P57" s="82">
        <f t="shared" si="3"/>
        <v>108.33599999999998</v>
      </c>
      <c r="T57" s="10" t="s">
        <v>112</v>
      </c>
      <c r="U57" s="87">
        <v>5.62</v>
      </c>
      <c r="W57" s="156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7">
        <f t="shared" si="1"/>
        <v>9.8772269915998745E-3</v>
      </c>
    </row>
    <row r="58" spans="1:31" x14ac:dyDescent="0.25">
      <c r="O58" s="82">
        <v>0.95</v>
      </c>
      <c r="P58" s="82">
        <f t="shared" si="3"/>
        <v>107.2075</v>
      </c>
      <c r="T58" s="10" t="s">
        <v>109</v>
      </c>
      <c r="U58" s="87" t="s">
        <v>612</v>
      </c>
      <c r="W58" s="156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7">
        <f t="shared" si="1"/>
        <v>-2.4141969191964763E-2</v>
      </c>
    </row>
    <row r="59" spans="1:31" x14ac:dyDescent="0.25">
      <c r="O59" s="82">
        <v>0.94</v>
      </c>
      <c r="P59" s="82">
        <f t="shared" si="3"/>
        <v>106.07899999999999</v>
      </c>
      <c r="W59" s="156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7">
        <f t="shared" si="1"/>
        <v>5.2521959612423785E-3</v>
      </c>
    </row>
    <row r="60" spans="1:31" x14ac:dyDescent="0.25">
      <c r="O60" s="82">
        <v>0.93</v>
      </c>
      <c r="P60" s="82">
        <f t="shared" si="3"/>
        <v>104.95050000000001</v>
      </c>
      <c r="W60" s="156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7">
        <f t="shared" si="1"/>
        <v>4.0916530278232166E-3</v>
      </c>
    </row>
    <row r="61" spans="1:31" x14ac:dyDescent="0.25">
      <c r="O61" s="82">
        <v>0.92</v>
      </c>
      <c r="P61" s="82">
        <f t="shared" si="3"/>
        <v>103.822</v>
      </c>
      <c r="W61" s="156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7">
        <f t="shared" si="1"/>
        <v>1.1868617168092843E-2</v>
      </c>
    </row>
    <row r="62" spans="1:31" x14ac:dyDescent="0.25">
      <c r="O62" s="82">
        <v>0.91</v>
      </c>
      <c r="P62" s="82">
        <f t="shared" si="3"/>
        <v>102.6935</v>
      </c>
      <c r="W62" s="156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7">
        <f t="shared" si="1"/>
        <v>7.3658042537516621E-4</v>
      </c>
    </row>
    <row r="63" spans="1:31" x14ac:dyDescent="0.25">
      <c r="O63" s="82">
        <v>0.9</v>
      </c>
      <c r="P63" s="82">
        <f t="shared" si="3"/>
        <v>101.565</v>
      </c>
      <c r="W63" s="156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7">
        <f t="shared" si="1"/>
        <v>-2.2236226143320104E-2</v>
      </c>
    </row>
    <row r="64" spans="1:31" x14ac:dyDescent="0.25">
      <c r="W64" s="156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7">
        <f t="shared" si="1"/>
        <v>1.2395187750638081E-2</v>
      </c>
    </row>
    <row r="65" spans="23:31" x14ac:dyDescent="0.25">
      <c r="W65" s="156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7">
        <f t="shared" si="1"/>
        <v>-3.1797946761151774E-3</v>
      </c>
    </row>
    <row r="66" spans="23:31" x14ac:dyDescent="0.25">
      <c r="W66" s="156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7">
        <f t="shared" si="1"/>
        <v>3.4200883209621225E-2</v>
      </c>
    </row>
    <row r="67" spans="23:31" x14ac:dyDescent="0.25">
      <c r="W67" s="156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7" t="e">
        <f>AC67/#REF!-1</f>
        <v>#REF!</v>
      </c>
    </row>
    <row r="68" spans="23:31" x14ac:dyDescent="0.25">
      <c r="W68" s="156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7">
        <f>AC2/AC3-1</f>
        <v>-8.3576909024479784E-3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213.1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7">
        <f t="shared" ref="AE3:AE66" si="1">AC3/AC4-1</f>
        <v>7.3126142595980603E-4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213.1</v>
      </c>
      <c r="R4" s="499">
        <v>-3.5999999999999999E-3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7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7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7">
        <f t="shared" si="1"/>
        <v>-5.7385567755637856E-3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7">
        <f t="shared" si="1"/>
        <v>1.6293279022403517E-3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7">
        <f t="shared" si="1"/>
        <v>8.6738187628394581E-3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7">
        <f t="shared" si="1"/>
        <v>3.6534685116684784E-4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7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7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7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7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7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7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7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7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7">
        <f t="shared" si="1"/>
        <v>-9.2711706516435122E-3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7">
        <f t="shared" si="1"/>
        <v>4.4379354724188858E-4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7">
        <f t="shared" si="1"/>
        <v>1.9546626849463955E-2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7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7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7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7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7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7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7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7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7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7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7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7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7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7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7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7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7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7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7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7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234.41000000000003</v>
      </c>
      <c r="Q42" s="2"/>
      <c r="T42" s="134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7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232.27900000000002</v>
      </c>
      <c r="Q43" s="2"/>
      <c r="T43" s="135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7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230.148</v>
      </c>
      <c r="Q44" s="2"/>
      <c r="T44" s="135" t="s">
        <v>100</v>
      </c>
      <c r="U44" s="87" t="s">
        <v>738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7">
        <f t="shared" si="1"/>
        <v>1.9490327924767126E-3</v>
      </c>
    </row>
    <row r="45" spans="1:31" x14ac:dyDescent="0.25">
      <c r="O45" s="82">
        <v>1.07</v>
      </c>
      <c r="P45" s="82">
        <f t="shared" si="3"/>
        <v>228.017</v>
      </c>
      <c r="Q45" s="2"/>
      <c r="T45" s="135" t="s">
        <v>101</v>
      </c>
      <c r="U45" s="87" t="s">
        <v>739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7">
        <f t="shared" si="1"/>
        <v>1.03382070595186E-2</v>
      </c>
    </row>
    <row r="46" spans="1:31" x14ac:dyDescent="0.25">
      <c r="O46" s="82">
        <v>1.06</v>
      </c>
      <c r="P46" s="82">
        <f t="shared" si="3"/>
        <v>225.886</v>
      </c>
      <c r="Q46" s="2"/>
      <c r="T46" s="135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7">
        <f t="shared" si="1"/>
        <v>1.7754105636926809E-3</v>
      </c>
    </row>
    <row r="47" spans="1:31" x14ac:dyDescent="0.25">
      <c r="O47" s="82">
        <v>1.05</v>
      </c>
      <c r="P47" s="82">
        <f t="shared" si="3"/>
        <v>223.755</v>
      </c>
      <c r="Q47" s="2"/>
      <c r="T47" s="135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7">
        <f t="shared" si="1"/>
        <v>2.0996978851963721E-2</v>
      </c>
    </row>
    <row r="48" spans="1:31" x14ac:dyDescent="0.25">
      <c r="O48" s="82">
        <v>1.04</v>
      </c>
      <c r="P48" s="82">
        <f t="shared" si="3"/>
        <v>221.624</v>
      </c>
      <c r="Q48" s="2"/>
      <c r="T48" s="135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7">
        <f t="shared" si="1"/>
        <v>-1.8289668808700088E-2</v>
      </c>
    </row>
    <row r="49" spans="1:31" x14ac:dyDescent="0.25">
      <c r="O49" s="82">
        <v>1.03</v>
      </c>
      <c r="P49" s="82">
        <f t="shared" si="3"/>
        <v>219.49299999999999</v>
      </c>
      <c r="Q49" s="2"/>
      <c r="T49" s="135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7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217.36199999999999</v>
      </c>
      <c r="Q50" s="2"/>
      <c r="T50" s="135" t="s">
        <v>105</v>
      </c>
      <c r="U50" s="87" t="s">
        <v>740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7">
        <f t="shared" si="1"/>
        <v>7.5276752767527988E-3</v>
      </c>
    </row>
    <row r="51" spans="1:31" x14ac:dyDescent="0.25">
      <c r="O51" s="82">
        <v>1.01</v>
      </c>
      <c r="P51" s="82">
        <f t="shared" si="3"/>
        <v>215.23099999999999</v>
      </c>
      <c r="Q51" s="2"/>
      <c r="T51" s="135" t="s">
        <v>106</v>
      </c>
      <c r="U51" s="87" t="s">
        <v>539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7">
        <f t="shared" si="1"/>
        <v>8.3345735972615298E-3</v>
      </c>
    </row>
    <row r="52" spans="1:31" x14ac:dyDescent="0.25">
      <c r="O52" s="82">
        <v>1</v>
      </c>
      <c r="P52" s="82">
        <f t="shared" si="3"/>
        <v>213.1</v>
      </c>
      <c r="Q52" s="2"/>
      <c r="T52" s="135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7">
        <f t="shared" si="1"/>
        <v>2.3925632429137256E-2</v>
      </c>
    </row>
    <row r="53" spans="1:31" x14ac:dyDescent="0.25">
      <c r="O53" s="82">
        <v>0.99</v>
      </c>
      <c r="P53" s="82">
        <f t="shared" si="3"/>
        <v>210.96899999999999</v>
      </c>
      <c r="Q53" s="2"/>
      <c r="T53" s="135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7">
        <f t="shared" si="1"/>
        <v>3.53423792994636E-2</v>
      </c>
    </row>
    <row r="54" spans="1:31" x14ac:dyDescent="0.25">
      <c r="O54" s="82">
        <v>0.98</v>
      </c>
      <c r="P54" s="82">
        <f t="shared" si="3"/>
        <v>208.83799999999999</v>
      </c>
      <c r="Q54" s="2"/>
      <c r="T54" s="135" t="s">
        <v>108</v>
      </c>
      <c r="U54" s="87" t="s">
        <v>741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7">
        <f t="shared" si="1"/>
        <v>-4.2056566081383195E-4</v>
      </c>
    </row>
    <row r="55" spans="1:31" x14ac:dyDescent="0.25">
      <c r="O55" s="82">
        <v>0.97</v>
      </c>
      <c r="P55" s="82">
        <f t="shared" si="3"/>
        <v>206.70699999999999</v>
      </c>
      <c r="T55" s="135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7">
        <f t="shared" si="1"/>
        <v>2.9774794283239592E-2</v>
      </c>
    </row>
    <row r="56" spans="1:31" x14ac:dyDescent="0.25">
      <c r="O56" s="82">
        <v>0.96</v>
      </c>
      <c r="P56" s="82">
        <f t="shared" si="3"/>
        <v>204.57599999999999</v>
      </c>
      <c r="T56" s="135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7">
        <f t="shared" si="1"/>
        <v>2.9319144315342882E-3</v>
      </c>
    </row>
    <row r="57" spans="1:31" x14ac:dyDescent="0.25">
      <c r="O57" s="82">
        <v>0.95</v>
      </c>
      <c r="P57" s="82">
        <f t="shared" si="3"/>
        <v>202.44499999999999</v>
      </c>
      <c r="T57" s="135" t="s">
        <v>109</v>
      </c>
      <c r="U57" s="87" t="s">
        <v>620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7">
        <f t="shared" si="1"/>
        <v>3.2978126752664094E-2</v>
      </c>
    </row>
    <row r="58" spans="1:31" x14ac:dyDescent="0.25">
      <c r="O58" s="82">
        <v>0.94</v>
      </c>
      <c r="P58" s="82">
        <f t="shared" si="3"/>
        <v>200.31399999999999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7">
        <f t="shared" si="1"/>
        <v>-7.4593631707858821E-3</v>
      </c>
    </row>
    <row r="59" spans="1:31" x14ac:dyDescent="0.25">
      <c r="O59" s="82">
        <v>0.93</v>
      </c>
      <c r="P59" s="82">
        <f t="shared" si="3"/>
        <v>198.18299999999999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7">
        <f t="shared" si="1"/>
        <v>8.9300758213983755E-3</v>
      </c>
    </row>
    <row r="60" spans="1:31" x14ac:dyDescent="0.25">
      <c r="O60" s="82">
        <v>0.92</v>
      </c>
      <c r="P60" s="82">
        <f t="shared" si="3"/>
        <v>196.05199999999999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7">
        <f t="shared" si="1"/>
        <v>-3.1353227702816122E-3</v>
      </c>
    </row>
    <row r="61" spans="1:31" x14ac:dyDescent="0.25">
      <c r="O61" s="82">
        <v>0.91</v>
      </c>
      <c r="P61" s="82">
        <f t="shared" si="3"/>
        <v>193.92099999999999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7">
        <f t="shared" si="1"/>
        <v>-6.3421418636995242E-3</v>
      </c>
    </row>
    <row r="62" spans="1:31" x14ac:dyDescent="0.25">
      <c r="O62" s="82">
        <v>0.9</v>
      </c>
      <c r="P62" s="82">
        <f t="shared" si="3"/>
        <v>191.79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7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7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7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7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7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7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7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67.75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7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67.75</v>
      </c>
      <c r="R4" s="499">
        <v>-4.2700000000000002E-2</v>
      </c>
      <c r="T4" s="162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7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7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7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7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7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7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7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7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7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7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7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7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7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7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7">
        <f t="shared" si="1"/>
        <v>-4.7244094488188892E-2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7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7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7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7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7">
        <f t="shared" si="1"/>
        <v>-6.8362045392398318E-3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7">
        <f t="shared" si="1"/>
        <v>-3.241169466860705E-2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7">
        <f t="shared" si="1"/>
        <v>3.1522925764192244E-2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7">
        <f t="shared" si="1"/>
        <v>-2.7987796790025166E-2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7">
        <f t="shared" si="1"/>
        <v>1.7546227561074268E-2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7">
        <f t="shared" si="1"/>
        <v>-1.580765143464391E-2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7">
        <f t="shared" si="1"/>
        <v>2.6638252530635231E-3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7">
        <f t="shared" si="1"/>
        <v>6.9742489270385732E-3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7">
        <f t="shared" si="1"/>
        <v>-1.1533872464536743E-2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7">
        <f t="shared" si="1"/>
        <v>2.6521681474611647E-4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7">
        <f t="shared" si="1"/>
        <v>-7.240652975250117E-3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7">
        <f t="shared" si="1"/>
        <v>3.8324302894143791E-3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7">
        <f t="shared" si="1"/>
        <v>-1.05610561056102E-3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7">
        <f t="shared" si="1"/>
        <v>2.7257933279088764E-2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7">
        <f t="shared" si="1"/>
        <v>-1.3542795232936999E-3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7">
        <f t="shared" si="1"/>
        <v>1.7079889807162685E-2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7">
        <f t="shared" si="1"/>
        <v>-5.206906001644418E-3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7">
        <f t="shared" si="1"/>
        <v>1.7852161785216092E-2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74.525000000000006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7">
        <f t="shared" si="1"/>
        <v>5.7511572450552606E-3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73.847500000000011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7">
        <f t="shared" si="1"/>
        <v>-3.0068027210884307E-2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73.17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7">
        <f t="shared" si="1"/>
        <v>6.0224473035861426E-3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72.492500000000007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7">
        <f t="shared" si="1"/>
        <v>1.2752980316052209E-2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71.814999999999998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7">
        <f t="shared" si="1"/>
        <v>9.2333519865697156E-3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71.137500000000003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7">
        <f t="shared" si="1"/>
        <v>1.4332340002838118E-2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70.460000000000008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7">
        <f t="shared" si="1"/>
        <v>-1.7428890128276642E-2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69.782499999999999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7">
        <f t="shared" si="1"/>
        <v>-3.628056973931737E-2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69.105000000000004</v>
      </c>
      <c r="Q49" s="2"/>
      <c r="T49" s="92" t="s">
        <v>122</v>
      </c>
      <c r="U49" s="87" t="s">
        <v>364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7">
        <f t="shared" si="1"/>
        <v>-1.2735473600424485E-2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68.427499999999995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7">
        <f t="shared" si="1"/>
        <v>2.432395705938295E-2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67.75</v>
      </c>
      <c r="Q51" s="2"/>
      <c r="T51" s="92" t="s">
        <v>105</v>
      </c>
      <c r="U51" s="87" t="s">
        <v>776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7">
        <f t="shared" si="1"/>
        <v>5.6026236676687269E-3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67.072500000000005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7">
        <f t="shared" si="1"/>
        <v>5.9106529209622671E-3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66.394999999999996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7">
        <f t="shared" si="1"/>
        <v>-3.3094098883572509E-2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65.717500000000001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7">
        <f t="shared" si="1"/>
        <v>1.6482031883274795E-2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65.039999999999992</v>
      </c>
      <c r="T55" s="92" t="s">
        <v>108</v>
      </c>
      <c r="U55" s="87" t="s">
        <v>777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7">
        <f t="shared" si="1"/>
        <v>2.7027027027015649E-4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64.362499999999997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7">
        <f t="shared" si="1"/>
        <v>3.5259018171955869E-3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63.684999999999995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7">
        <f t="shared" si="1"/>
        <v>-7.8040904198062311E-3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63.0075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7">
        <f t="shared" si="1"/>
        <v>4.3243243243242802E-3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62.330000000000005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7">
        <f t="shared" si="1"/>
        <v>-1.3859275053304976E-2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61.652500000000003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7">
        <f t="shared" si="1"/>
        <v>1.873472712462676E-2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60.975000000000001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7">
        <f t="shared" si="1"/>
        <v>3.338945005611671E-2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7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7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7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7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7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7">
        <f>AC2/AC3-1</f>
        <v>1.3678189505097471E-3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72.39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7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72.39</v>
      </c>
      <c r="R4" s="519">
        <v>-0.1154</v>
      </c>
      <c r="T4" s="162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7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7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7">
        <f t="shared" si="1"/>
        <v>-1.8348623853211565E-3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7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7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7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7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7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7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7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7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7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7">
        <f t="shared" si="1"/>
        <v>1.4485696895922162E-2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7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7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7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7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7">
        <f t="shared" si="1"/>
        <v>-1.2380834468228574E-4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7">
        <f t="shared" si="1"/>
        <v>-5.9076923076923915E-3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7">
        <f t="shared" si="1"/>
        <v>-1.3956310679611672E-2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7">
        <f t="shared" si="1"/>
        <v>1.3031718711581153E-2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7">
        <f t="shared" si="1"/>
        <v>-3.1862745098037992E-3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7">
        <f t="shared" si="1"/>
        <v>8.4033613445377853E-3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7">
        <f t="shared" si="1"/>
        <v>-1.3651877133105894E-2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7">
        <f t="shared" si="1"/>
        <v>4.2844901456726703E-3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7">
        <f t="shared" si="1"/>
        <v>5.0442913385826404E-3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7">
        <f t="shared" si="1"/>
        <v>7.9365079365079083E-3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7">
        <f t="shared" si="1"/>
        <v>-3.0906168871306372E-3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7">
        <f t="shared" si="1"/>
        <v>7.7239317304098609E-3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7">
        <f t="shared" si="1"/>
        <v>5.8897243107769448E-3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7">
        <f t="shared" si="1"/>
        <v>-2.2505626406602586E-3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7">
        <f t="shared" si="1"/>
        <v>1.9502868068833612E-2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7">
        <f t="shared" si="1"/>
        <v>1.0432766615146916E-2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7">
        <f t="shared" si="1"/>
        <v>8.5736554949336075E-3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7">
        <f t="shared" si="1"/>
        <v>-6.490977541216969E-4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79.629000000000005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7">
        <f t="shared" si="1"/>
        <v>-4.5231325924011134E-3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78.905100000000004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7">
        <f t="shared" si="1"/>
        <v>6.4657959394787134E-4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78.181200000000004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7">
        <f t="shared" si="1"/>
        <v>2.3560555923229698E-2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77.457300000000004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7">
        <f t="shared" si="1"/>
        <v>1.4638732205210836E-2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76.733400000000003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7">
        <f t="shared" si="1"/>
        <v>5.8084560313385047E-3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76.009500000000003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7">
        <f t="shared" si="1"/>
        <v>-1.2143047771550508E-2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75.285600000000002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7">
        <f t="shared" si="1"/>
        <v>5.2313883299799357E-3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74.561700000000002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7">
        <f t="shared" si="1"/>
        <v>2.4179145487017273E-2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73.837800000000001</v>
      </c>
      <c r="Q49" s="2"/>
      <c r="T49" s="92" t="s">
        <v>104</v>
      </c>
      <c r="U49" s="87" t="s">
        <v>742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7">
        <f t="shared" si="1"/>
        <v>9.9902872207577875E-3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73.113900000000001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7">
        <f t="shared" si="1"/>
        <v>-8.5293713027927431E-3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72.39</v>
      </c>
      <c r="Q51" s="2"/>
      <c r="T51" s="92" t="s">
        <v>105</v>
      </c>
      <c r="U51" s="87" t="s">
        <v>743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7">
        <f t="shared" si="1"/>
        <v>-3.6580516898608417E-2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71.6661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7">
        <f t="shared" si="1"/>
        <v>1.6298491379310498E-2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70.9422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7">
        <f t="shared" si="1"/>
        <v>-9.4199973085729027E-4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70.218299999999999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7">
        <f t="shared" si="1"/>
        <v>-4.1543822031627764E-3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69.494399999999999</v>
      </c>
      <c r="T55" s="92" t="s">
        <v>108</v>
      </c>
      <c r="U55" s="87" t="s">
        <v>744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7">
        <f t="shared" si="1"/>
        <v>-6.9204152249134898E-3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68.770499999999998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7">
        <f t="shared" si="1"/>
        <v>-3.3160896670646478E-3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68.046599999999998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7">
        <f t="shared" si="1"/>
        <v>8.2920957603318524E-3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67.322699999999998</v>
      </c>
      <c r="T58" s="92" t="s">
        <v>109</v>
      </c>
      <c r="U58" s="87" t="s">
        <v>621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7">
        <f t="shared" si="1"/>
        <v>2.4131921169057158E-3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66.598799999999997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7">
        <f t="shared" si="1"/>
        <v>1.0978584982380024E-2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65.874899999999997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7">
        <f t="shared" si="1"/>
        <v>6.2738679759957172E-3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65.150999999999996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7">
        <f t="shared" si="1"/>
        <v>-1.9917123379227464E-2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7">
        <f t="shared" si="1"/>
        <v>6.1869535978480439E-3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7">
        <f t="shared" si="1"/>
        <v>-7.6081153230113108E-3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7">
        <f t="shared" si="1"/>
        <v>1.1202591442839749E-2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7">
        <f t="shared" si="1"/>
        <v>-1.5022600372241346E-2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7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355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389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427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432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5"/>
      <c r="B97" s="666"/>
      <c r="C97" s="665"/>
      <c r="D97" s="667"/>
      <c r="E97" s="667"/>
      <c r="F97" s="667"/>
      <c r="G97" s="667"/>
      <c r="H97" s="668"/>
      <c r="I97" s="667"/>
    </row>
    <row r="98" spans="1:9" x14ac:dyDescent="0.25">
      <c r="A98" s="665" t="s">
        <v>469</v>
      </c>
      <c r="B98" s="666">
        <v>42787</v>
      </c>
      <c r="C98" s="665">
        <v>25</v>
      </c>
      <c r="D98" s="667">
        <v>72.58</v>
      </c>
      <c r="E98" s="667">
        <v>81.34</v>
      </c>
      <c r="F98" s="667">
        <f>C98*(E98-D98)</f>
        <v>219.00000000000011</v>
      </c>
      <c r="G98" s="667">
        <f>D98*C98</f>
        <v>1814.5</v>
      </c>
      <c r="H98" s="668">
        <f>(E98-D98)/D98</f>
        <v>0.12069440617249938</v>
      </c>
      <c r="I98" s="667"/>
    </row>
    <row r="99" spans="1:9" x14ac:dyDescent="0.25">
      <c r="A99" s="665"/>
      <c r="B99" s="666">
        <v>42796</v>
      </c>
      <c r="C99" s="665">
        <v>0</v>
      </c>
      <c r="D99" s="667"/>
      <c r="E99" s="667"/>
      <c r="F99" s="667">
        <v>244.96</v>
      </c>
      <c r="G99" s="667"/>
      <c r="H99" s="668"/>
      <c r="I99" s="66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7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44.41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7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44.41</v>
      </c>
      <c r="R4" s="521">
        <v>1.4E-3</v>
      </c>
      <c r="T4" s="510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7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7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7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7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7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7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7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7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7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7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7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7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7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7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7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7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7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7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7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7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7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7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7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7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7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7">
        <f t="shared" si="1"/>
        <v>-3.9635354736433648E-4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7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7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7" t="e">
        <f t="shared" si="1"/>
        <v>#DIV/0!</v>
      </c>
    </row>
    <row r="33" spans="2:31" x14ac:dyDescent="0.25">
      <c r="W33" s="132">
        <v>42788</v>
      </c>
      <c r="X33" s="10" t="s">
        <v>479</v>
      </c>
      <c r="Y33" s="10"/>
      <c r="Z33" s="10"/>
      <c r="AA33" s="10"/>
      <c r="AB33" s="94"/>
      <c r="AC33" s="10"/>
      <c r="AD33" s="2">
        <f t="shared" si="0"/>
        <v>0</v>
      </c>
      <c r="AE33" s="137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7">
        <f t="shared" si="1"/>
        <v>-3.9192631785234244E-4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7">
        <f t="shared" si="1"/>
        <v>7.9004542761207386E-3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7">
        <f t="shared" si="1"/>
        <v>-6.6705905434568669E-3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7">
        <f t="shared" si="1"/>
        <v>2.637937978252114E-2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7">
        <f t="shared" si="1"/>
        <v>-4.0112314480545974E-3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7">
        <f t="shared" si="1"/>
        <v>1.6306563391765172E-2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7">
        <f t="shared" si="1"/>
        <v>-1.4247913698350878E-3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7">
        <f t="shared" si="1"/>
        <v>2.5464412439991868E-2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7">
        <f t="shared" si="1"/>
        <v>-1.0425354462052505E-3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48.850999999999999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7">
        <f t="shared" si="1"/>
        <v>-2.2883295194507935E-3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48.4069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7">
        <f t="shared" si="1"/>
        <v>9.449811003779951E-3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47.962800000000001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7">
        <f t="shared" si="1"/>
        <v>9.1121000211908942E-3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47.518700000000003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7">
        <f t="shared" si="1"/>
        <v>2.5493945188017619E-3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47.074599999999997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7">
        <f t="shared" si="1"/>
        <v>4.2507970244431981E-4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46.630499999999998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7">
        <f t="shared" si="1"/>
        <v>-9.0564448188711344E-3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46.186399999999999</v>
      </c>
      <c r="Q49" s="2"/>
      <c r="T49" s="92" t="s">
        <v>122</v>
      </c>
      <c r="U49" s="87" t="s">
        <v>350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7">
        <f t="shared" si="1"/>
        <v>-4.0808080808080849E-2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45.7423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7">
        <f t="shared" si="1"/>
        <v>-2.3668639053254448E-2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45.298199999999994</v>
      </c>
      <c r="Q51" s="2"/>
      <c r="T51" s="92" t="s">
        <v>105</v>
      </c>
      <c r="U51" s="87" t="s">
        <v>745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7">
        <f t="shared" si="1"/>
        <v>1.4202840568113606E-2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44.854099999999995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7">
        <f t="shared" si="1"/>
        <v>1.523151909017062E-2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44.41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7">
        <f t="shared" si="1"/>
        <v>1.3585837793330668E-2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43.965899999999998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7">
        <f t="shared" si="1"/>
        <v>-3.4194831013916516E-2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43.521799999999999</v>
      </c>
      <c r="T55" s="92" t="s">
        <v>108</v>
      </c>
      <c r="U55" s="87" t="s">
        <v>659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7">
        <f t="shared" si="1"/>
        <v>1.6161616161616044E-2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43.077699999999993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7">
        <f t="shared" si="1"/>
        <v>-1.19760479041916E-2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42.633599999999994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7">
        <f t="shared" si="1"/>
        <v>-5.9844404548181629E-4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42.189499999999995</v>
      </c>
      <c r="T58" s="92" t="s">
        <v>109</v>
      </c>
      <c r="U58" s="87" t="s">
        <v>622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7">
        <f t="shared" si="1"/>
        <v>-1.7636684303350969E-2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41.745399999999997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7">
        <f t="shared" si="1"/>
        <v>6.7074373643718488E-3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41.301299999999998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7">
        <f t="shared" si="1"/>
        <v>-1.0733801717408342E-2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40.857199999999999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7">
        <f t="shared" si="1"/>
        <v>1.0053222945002993E-2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40.4131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7">
        <f t="shared" si="1"/>
        <v>2.5055566781167826E-2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39.969000000000001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7">
        <f t="shared" si="1"/>
        <v>2.0210185933722258E-4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7">
        <f t="shared" si="1"/>
        <v>-1.0094891984656629E-3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7">
        <f t="shared" si="1"/>
        <v>-1.9207920792079225E-2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7">
        <f t="shared" si="1"/>
        <v>2.4756493506493449E-2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41" x14ac:dyDescent="0.25">
      <c r="A2" s="6" t="s">
        <v>349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41" x14ac:dyDescent="0.25">
      <c r="A3" s="23" t="s">
        <v>71</v>
      </c>
      <c r="B3" s="454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4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9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  <c r="AL3" s="233"/>
      <c r="AO3" s="233"/>
    </row>
    <row r="4" spans="1:41" x14ac:dyDescent="0.25">
      <c r="B4" s="498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200">
        <v>30.99</v>
      </c>
      <c r="R4" s="499">
        <v>-3.61E-2</v>
      </c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2479.1999999999998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-53.6899999999996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41" x14ac:dyDescent="0.25">
      <c r="O8" s="11" t="s">
        <v>183</v>
      </c>
      <c r="P8" s="34"/>
      <c r="Q8" s="2">
        <f>K18+M18-F18+Q2*Q4</f>
        <v>-53.6899999999996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41" x14ac:dyDescent="0.25">
      <c r="O9" s="11" t="s">
        <v>213</v>
      </c>
      <c r="Q9" s="137">
        <f>IF(Q2=0, 0, Q8/Q6)</f>
        <v>-2.1197130550477759E-2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41" x14ac:dyDescent="0.25">
      <c r="O10" s="11" t="s">
        <v>212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A23" t="s">
        <v>386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A25">
        <v>0</v>
      </c>
      <c r="B25" s="192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30">
        <f>(E25-D25)/D25</f>
        <v>-2.1196357675507253E-2</v>
      </c>
      <c r="I25" s="231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1:31" x14ac:dyDescent="0.25">
      <c r="L36" t="s">
        <v>214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1:31" x14ac:dyDescent="0.25">
      <c r="A38" s="387" t="s">
        <v>349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34.088999999999999</v>
      </c>
      <c r="Q43" s="34"/>
      <c r="R43" s="34"/>
      <c r="T43" s="127" t="s">
        <v>98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1">O44*$Q$4</f>
        <v>33.7791</v>
      </c>
      <c r="Q44" s="34"/>
      <c r="R44" s="34"/>
      <c r="T44" s="92" t="s">
        <v>99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1"/>
        <v>33.469200000000001</v>
      </c>
      <c r="Q45" s="34"/>
      <c r="R45" s="34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1"/>
        <v>33.159300000000002</v>
      </c>
      <c r="Q46" s="82"/>
      <c r="R46" s="34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1"/>
        <v>32.849400000000003</v>
      </c>
      <c r="Q47" s="82"/>
      <c r="R47" s="34"/>
      <c r="T47" s="92" t="s">
        <v>102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1"/>
        <v>32.539499999999997</v>
      </c>
      <c r="Q48" s="82"/>
      <c r="R48" s="34"/>
      <c r="T48" s="92" t="s">
        <v>103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1"/>
        <v>32.229599999999998</v>
      </c>
      <c r="Q49" s="82"/>
      <c r="R49" s="34"/>
      <c r="T49" s="92" t="s">
        <v>104</v>
      </c>
      <c r="U49" s="87" t="s">
        <v>129</v>
      </c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31.919699999999999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31.6098</v>
      </c>
      <c r="Q51" s="82"/>
      <c r="R51" s="34"/>
      <c r="T51" s="92" t="s">
        <v>105</v>
      </c>
      <c r="U51" s="87" t="s">
        <v>746</v>
      </c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O52" s="82">
        <v>1.01</v>
      </c>
      <c r="P52" s="82">
        <f t="shared" si="1"/>
        <v>31.299899999999997</v>
      </c>
      <c r="Q52" s="82"/>
      <c r="R52" s="34"/>
      <c r="T52" s="92" t="s">
        <v>106</v>
      </c>
      <c r="U52" s="87" t="s">
        <v>557</v>
      </c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O53" s="82">
        <v>1</v>
      </c>
      <c r="P53" s="82">
        <f t="shared" si="1"/>
        <v>30.99</v>
      </c>
      <c r="Q53" s="82"/>
      <c r="R53" s="34"/>
      <c r="T53" s="92" t="s">
        <v>107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O54" s="82">
        <v>0.99</v>
      </c>
      <c r="P54" s="82">
        <f t="shared" si="1"/>
        <v>30.680099999999999</v>
      </c>
      <c r="Q54" s="82"/>
      <c r="R54" s="34"/>
      <c r="T54" s="92" t="s">
        <v>110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268" t="s">
        <v>234</v>
      </c>
      <c r="B55" s="268" t="s">
        <v>114</v>
      </c>
      <c r="C55" s="268" t="s">
        <v>147</v>
      </c>
      <c r="D55" s="269" t="s">
        <v>146</v>
      </c>
      <c r="E55" s="270" t="s">
        <v>148</v>
      </c>
      <c r="F55" s="271" t="s">
        <v>65</v>
      </c>
      <c r="G55" s="272" t="s">
        <v>152</v>
      </c>
      <c r="H55" s="271" t="s">
        <v>88</v>
      </c>
      <c r="I55" s="271" t="s">
        <v>155</v>
      </c>
      <c r="O55" s="82">
        <v>0.98</v>
      </c>
      <c r="P55" s="82">
        <f t="shared" si="1"/>
        <v>30.370199999999997</v>
      </c>
      <c r="Q55" s="82"/>
      <c r="T55" s="92" t="s">
        <v>108</v>
      </c>
      <c r="U55" s="87" t="s">
        <v>747</v>
      </c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260"/>
      <c r="B56" s="265"/>
      <c r="C56" s="260"/>
      <c r="D56" s="261"/>
      <c r="E56" s="261"/>
      <c r="F56" s="261"/>
      <c r="G56" s="261"/>
      <c r="H56" s="275"/>
      <c r="I56" s="275"/>
      <c r="O56" s="82">
        <v>0.97</v>
      </c>
      <c r="P56" s="82">
        <f t="shared" si="1"/>
        <v>30.060299999999998</v>
      </c>
      <c r="Q56" s="82"/>
      <c r="T56" s="92" t="s">
        <v>111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260"/>
      <c r="B57" s="265"/>
      <c r="C57" s="260"/>
      <c r="D57" s="261"/>
      <c r="E57" s="261"/>
      <c r="F57" s="261"/>
      <c r="G57" s="261"/>
      <c r="H57" s="275"/>
      <c r="I57" s="275"/>
      <c r="O57" s="82">
        <v>0.96</v>
      </c>
      <c r="P57" s="82">
        <f t="shared" si="1"/>
        <v>29.750399999999999</v>
      </c>
      <c r="Q57" s="82"/>
      <c r="T57" s="92" t="s">
        <v>112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260"/>
      <c r="B58" s="265"/>
      <c r="C58" s="260"/>
      <c r="D58" s="261"/>
      <c r="E58" s="261"/>
      <c r="F58" s="261"/>
      <c r="G58" s="261"/>
      <c r="H58" s="275"/>
      <c r="I58" s="275"/>
      <c r="O58" s="82">
        <v>0.95</v>
      </c>
      <c r="P58" s="82">
        <f t="shared" si="1"/>
        <v>29.440499999999997</v>
      </c>
      <c r="Q58" s="82"/>
      <c r="T58" s="92" t="s">
        <v>109</v>
      </c>
      <c r="U58" s="87" t="s">
        <v>623</v>
      </c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260"/>
      <c r="B59" s="265"/>
      <c r="C59" s="260"/>
      <c r="D59" s="261"/>
      <c r="E59" s="261"/>
      <c r="F59" s="261"/>
      <c r="G59" s="261"/>
      <c r="H59" s="275"/>
      <c r="I59" s="275"/>
      <c r="O59" s="82">
        <v>0.94</v>
      </c>
      <c r="P59" s="82">
        <f t="shared" si="1"/>
        <v>29.130599999999998</v>
      </c>
      <c r="Q59" s="82"/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260"/>
      <c r="B60" s="265"/>
      <c r="C60" s="260"/>
      <c r="D60" s="261"/>
      <c r="E60" s="261"/>
      <c r="F60" s="261"/>
      <c r="G60" s="261"/>
      <c r="H60" s="273"/>
      <c r="I60" s="273"/>
      <c r="O60" s="82">
        <v>0.93</v>
      </c>
      <c r="P60" s="82">
        <f t="shared" si="1"/>
        <v>28.820699999999999</v>
      </c>
      <c r="Q60" s="82"/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260"/>
      <c r="B61" s="265"/>
      <c r="C61" s="260"/>
      <c r="D61" s="261"/>
      <c r="E61" s="261"/>
      <c r="F61" s="261"/>
      <c r="G61" s="261"/>
      <c r="H61" s="273"/>
      <c r="I61" s="273"/>
      <c r="O61" s="82">
        <v>0.92</v>
      </c>
      <c r="P61" s="82">
        <f t="shared" si="1"/>
        <v>28.5108</v>
      </c>
      <c r="Q61" s="82"/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260"/>
      <c r="B62" s="265"/>
      <c r="C62" s="260"/>
      <c r="D62" s="261"/>
      <c r="E62" s="261"/>
      <c r="F62" s="261"/>
      <c r="G62" s="261"/>
      <c r="H62" s="273"/>
      <c r="I62" s="273"/>
      <c r="O62" s="82">
        <v>0.91</v>
      </c>
      <c r="P62" s="82">
        <f t="shared" si="1"/>
        <v>28.200900000000001</v>
      </c>
      <c r="Q62" s="82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260"/>
      <c r="B63" s="265"/>
      <c r="C63" s="260"/>
      <c r="D63" s="261"/>
      <c r="E63" s="261"/>
      <c r="F63" s="261"/>
      <c r="G63" s="261"/>
      <c r="H63" s="273"/>
      <c r="I63" s="273"/>
      <c r="O63" s="82">
        <v>0.9</v>
      </c>
      <c r="P63" s="82">
        <f t="shared" si="1"/>
        <v>27.890999999999998</v>
      </c>
      <c r="Q63" s="82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260"/>
      <c r="B64" s="265"/>
      <c r="C64" s="260"/>
      <c r="D64" s="261"/>
      <c r="E64" s="261"/>
      <c r="F64" s="261"/>
      <c r="G64" s="261"/>
      <c r="H64" s="273"/>
      <c r="I64" s="273"/>
      <c r="O64" s="3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260"/>
      <c r="B65" s="265"/>
      <c r="C65" s="260"/>
      <c r="D65" s="261"/>
      <c r="E65" s="261"/>
      <c r="F65" s="261"/>
      <c r="G65" s="261"/>
      <c r="H65" s="273"/>
      <c r="I65" s="273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260"/>
      <c r="B66" s="265"/>
      <c r="C66" s="260"/>
      <c r="D66" s="261"/>
      <c r="E66" s="261"/>
      <c r="F66" s="261"/>
      <c r="G66" s="261"/>
      <c r="H66" s="273"/>
      <c r="I66" s="273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260"/>
      <c r="B67" s="265"/>
      <c r="C67" s="260"/>
      <c r="D67" s="261"/>
      <c r="E67" s="261"/>
      <c r="F67" s="261"/>
      <c r="G67" s="261"/>
      <c r="H67" s="273"/>
      <c r="I67" s="273"/>
      <c r="W67" s="132"/>
      <c r="X67" s="10"/>
      <c r="Y67" s="10"/>
      <c r="Z67" s="10"/>
      <c r="AA67" s="10"/>
      <c r="AB67" s="94"/>
      <c r="AC67" s="10"/>
      <c r="AD67" s="2"/>
      <c r="AE67" s="137" t="e">
        <f>AC67/AC68-1</f>
        <v>#DIV/0!</v>
      </c>
    </row>
    <row r="68" spans="1:31" x14ac:dyDescent="0.25">
      <c r="A68" s="260"/>
      <c r="B68" s="260"/>
      <c r="C68" s="260"/>
      <c r="D68" s="261"/>
      <c r="E68" s="261"/>
      <c r="F68" s="261"/>
      <c r="G68" s="261"/>
      <c r="H68" s="273"/>
      <c r="I68" s="273"/>
      <c r="W68" s="132"/>
      <c r="X68" s="10"/>
      <c r="Y68" s="10"/>
      <c r="Z68" s="10"/>
      <c r="AA68" s="10"/>
      <c r="AB68" s="94"/>
      <c r="AC68" s="10"/>
      <c r="AD68" s="2"/>
      <c r="AE68" s="137" t="e">
        <f>AC68/AC69-1</f>
        <v>#DIV/0!</v>
      </c>
    </row>
    <row r="69" spans="1:31" x14ac:dyDescent="0.25">
      <c r="A69" s="260"/>
      <c r="B69" s="260"/>
      <c r="C69" s="260"/>
      <c r="D69" s="261"/>
      <c r="E69" s="261"/>
      <c r="F69" s="261"/>
      <c r="G69" s="261"/>
      <c r="H69" s="273"/>
      <c r="I69" s="273"/>
      <c r="O69" s="34"/>
      <c r="W69" s="283"/>
      <c r="AB69" s="234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207" priority="63">
      <formula>F26&gt;0</formula>
    </cfRule>
    <cfRule type="expression" dxfId="206" priority="64">
      <formula>F26&lt;0</formula>
    </cfRule>
  </conditionalFormatting>
  <conditionalFormatting sqref="H26:H27">
    <cfRule type="expression" dxfId="205" priority="61">
      <formula>H26&gt;0</formula>
    </cfRule>
    <cfRule type="expression" dxfId="204" priority="62">
      <formula>H26&lt;0</formula>
    </cfRule>
  </conditionalFormatting>
  <conditionalFormatting sqref="H28">
    <cfRule type="expression" dxfId="203" priority="59">
      <formula>H28&gt;0</formula>
    </cfRule>
    <cfRule type="expression" dxfId="202" priority="60">
      <formula>H28&lt;0</formula>
    </cfRule>
  </conditionalFormatting>
  <conditionalFormatting sqref="H29">
    <cfRule type="expression" dxfId="201" priority="57">
      <formula>H29&gt;0</formula>
    </cfRule>
    <cfRule type="expression" dxfId="200" priority="58">
      <formula>H29&lt;0</formula>
    </cfRule>
  </conditionalFormatting>
  <conditionalFormatting sqref="H30:H34">
    <cfRule type="expression" dxfId="199" priority="55">
      <formula>H30&gt;0</formula>
    </cfRule>
    <cfRule type="expression" dxfId="198" priority="56">
      <formula>H30&lt;0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0:F31">
    <cfRule type="expression" dxfId="193" priority="49">
      <formula>F30&gt;0</formula>
    </cfRule>
    <cfRule type="expression" dxfId="192" priority="50">
      <formula>F30&lt;0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4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60:F64">
    <cfRule type="expression" dxfId="175" priority="31">
      <formula>F60&gt;0</formula>
    </cfRule>
    <cfRule type="expression" dxfId="174" priority="32">
      <formula>F60&lt;0</formula>
    </cfRule>
  </conditionalFormatting>
  <conditionalFormatting sqref="H60:H62">
    <cfRule type="expression" dxfId="173" priority="29">
      <formula>H60&gt;0</formula>
    </cfRule>
    <cfRule type="expression" dxfId="172" priority="30">
      <formula>H60&lt;0</formula>
    </cfRule>
  </conditionalFormatting>
  <conditionalFormatting sqref="H63">
    <cfRule type="expression" dxfId="171" priority="27">
      <formula>H63&gt;0</formula>
    </cfRule>
    <cfRule type="expression" dxfId="170" priority="28">
      <formula>H63&lt;0</formula>
    </cfRule>
  </conditionalFormatting>
  <conditionalFormatting sqref="H64">
    <cfRule type="expression" dxfId="169" priority="25">
      <formula>H64&gt;0</formula>
    </cfRule>
    <cfRule type="expression" dxfId="168" priority="26">
      <formula>H64&lt;0</formula>
    </cfRule>
  </conditionalFormatting>
  <conditionalFormatting sqref="H65:H69">
    <cfRule type="expression" dxfId="167" priority="23">
      <formula>H65&gt;0</formula>
    </cfRule>
    <cfRule type="expression" dxfId="166" priority="24">
      <formula>H65&lt;0</formula>
    </cfRule>
  </conditionalFormatting>
  <conditionalFormatting sqref="F56:F59">
    <cfRule type="expression" dxfId="165" priority="21">
      <formula>F56&gt;0</formula>
    </cfRule>
    <cfRule type="expression" dxfId="164" priority="22">
      <formula>F56&lt;0</formula>
    </cfRule>
  </conditionalFormatting>
  <conditionalFormatting sqref="H56:H59">
    <cfRule type="expression" dxfId="163" priority="19">
      <formula>H56&gt;0</formula>
    </cfRule>
    <cfRule type="expression" dxfId="162" priority="20">
      <formula>H56&lt;0</formula>
    </cfRule>
  </conditionalFormatting>
  <conditionalFormatting sqref="F65:F66">
    <cfRule type="expression" dxfId="161" priority="17">
      <formula>F65&gt;0</formula>
    </cfRule>
    <cfRule type="expression" dxfId="160" priority="18">
      <formula>F65&lt;0</formula>
    </cfRule>
  </conditionalFormatting>
  <conditionalFormatting sqref="I60:I62">
    <cfRule type="expression" dxfId="159" priority="15">
      <formula>I60&gt;0</formula>
    </cfRule>
    <cfRule type="expression" dxfId="158" priority="16">
      <formula>I60&lt;0</formula>
    </cfRule>
  </conditionalFormatting>
  <conditionalFormatting sqref="I63">
    <cfRule type="expression" dxfId="157" priority="13">
      <formula>I63&gt;0</formula>
    </cfRule>
    <cfRule type="expression" dxfId="156" priority="14">
      <formula>I63&lt;0</formula>
    </cfRule>
  </conditionalFormatting>
  <conditionalFormatting sqref="I64">
    <cfRule type="expression" dxfId="155" priority="11">
      <formula>I64&gt;0</formula>
    </cfRule>
    <cfRule type="expression" dxfId="154" priority="12">
      <formula>I64&lt;0</formula>
    </cfRule>
  </conditionalFormatting>
  <conditionalFormatting sqref="I65:I69">
    <cfRule type="expression" dxfId="153" priority="9">
      <formula>I65&gt;0</formula>
    </cfRule>
    <cfRule type="expression" dxfId="152" priority="10">
      <formula>I65&lt;0</formula>
    </cfRule>
  </conditionalFormatting>
  <conditionalFormatting sqref="I56:I59">
    <cfRule type="expression" dxfId="151" priority="7">
      <formula>I56&gt;0</formula>
    </cfRule>
    <cfRule type="expression" dxfId="150" priority="8">
      <formula>I56&lt;0</formula>
    </cfRule>
  </conditionalFormatting>
  <conditionalFormatting sqref="F67">
    <cfRule type="expression" dxfId="149" priority="5">
      <formula>F67&gt;0</formula>
    </cfRule>
    <cfRule type="expression" dxfId="148" priority="6">
      <formula>F67&lt;0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7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114.19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7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114.19</v>
      </c>
      <c r="R4" s="499">
        <v>3.5999999999999999E-3</v>
      </c>
      <c r="T4" s="162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7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7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7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7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7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7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7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7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7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7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7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7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7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7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7">
        <f t="shared" si="1"/>
        <v>7.0839311334289778E-3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7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7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7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7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7">
        <f t="shared" si="1"/>
        <v>1.7168157585614185E-3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7">
        <f t="shared" si="1"/>
        <v>-5.1240560949298297E-3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7">
        <f t="shared" si="1"/>
        <v>5.8775657835246076E-3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7">
        <f t="shared" si="1"/>
        <v>-4.0525936599423718E-3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7">
        <f t="shared" si="1"/>
        <v>8.6293032973021599E-3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7">
        <f t="shared" si="1"/>
        <v>-1.2700716683298197E-3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7">
        <f t="shared" si="1"/>
        <v>-8.158085569252016E-4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7">
        <f t="shared" si="1"/>
        <v>5.37683404720668E-3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7">
        <f t="shared" si="1"/>
        <v>-3.5415909916455268E-3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7">
        <f t="shared" si="1"/>
        <v>9.9990909917280213E-4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7">
        <f t="shared" si="1"/>
        <v>-4.5429765582405413E-4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7">
        <f t="shared" si="1"/>
        <v>-5.8711950140004632E-3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7">
        <f t="shared" si="1"/>
        <v>4.8103104011616438E-3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7">
        <f t="shared" si="1"/>
        <v>-1.3595576905646167E-3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7">
        <f t="shared" si="1"/>
        <v>6.2015503875967326E-3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7">
        <f t="shared" si="1"/>
        <v>3.5694673256452258E-3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7">
        <f t="shared" si="1"/>
        <v>-2.1006484610466281E-3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7">
        <f t="shared" si="1"/>
        <v>4.4954128440366503E-3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125.60900000000001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7">
        <f t="shared" si="1"/>
        <v>0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124.4671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7">
        <f t="shared" si="1"/>
        <v>-5.2021538742356155E-3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123.32520000000001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7">
        <f t="shared" si="1"/>
        <v>-6.6183136899365946E-3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122.1833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7">
        <f t="shared" si="1"/>
        <v>-2.8026399059759566E-3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121.04140000000001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7">
        <f t="shared" si="1"/>
        <v>-6.1994609164420789E-3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119.8995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7">
        <f t="shared" si="1"/>
        <v>5.8743786714865465E-3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118.7576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7">
        <f t="shared" si="1"/>
        <v>-2.614025599423031E-3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117.6157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7">
        <f t="shared" si="1"/>
        <v>1.5004574565416373E-2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116.4738</v>
      </c>
      <c r="Q49" s="2"/>
      <c r="T49" s="92" t="s">
        <v>104</v>
      </c>
      <c r="U49" s="87" t="s">
        <v>573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7">
        <f t="shared" si="1"/>
        <v>1.1475106422357939E-2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115.3319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7">
        <f t="shared" si="1"/>
        <v>1.8511662347275859E-4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114.19</v>
      </c>
      <c r="Q51" s="2"/>
      <c r="T51" s="92" t="s">
        <v>105</v>
      </c>
      <c r="U51" s="87" t="s">
        <v>748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7">
        <f t="shared" si="1"/>
        <v>1.2974976830397722E-3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113.04809999999999</v>
      </c>
      <c r="Q52" s="2"/>
      <c r="T52" s="92" t="s">
        <v>106</v>
      </c>
      <c r="U52" s="87" t="s">
        <v>749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7">
        <f t="shared" si="1"/>
        <v>7.2815533980583602E-3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111.9062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7">
        <f t="shared" si="1"/>
        <v>-5.0157904514210871E-3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110.76429999999999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7">
        <f t="shared" si="1"/>
        <v>3.5421327367635147E-3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109.6224</v>
      </c>
      <c r="T55" s="92" t="s">
        <v>108</v>
      </c>
      <c r="U55" s="87" t="s">
        <v>750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7">
        <f t="shared" si="1"/>
        <v>-8.1360946745561158E-3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108.48049999999999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7">
        <f t="shared" si="1"/>
        <v>1.7597480781699204E-3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107.33859999999999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7">
        <f t="shared" si="1"/>
        <v>-8.3287062742920526E-4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106.19670000000001</v>
      </c>
      <c r="T58" s="92" t="s">
        <v>109</v>
      </c>
      <c r="U58" s="87" t="s">
        <v>598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7">
        <f t="shared" si="1"/>
        <v>4.9288570631451645E-3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105.0548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7">
        <f t="shared" si="1"/>
        <v>-1.74524853801169E-2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103.91290000000001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7">
        <f t="shared" si="1"/>
        <v>9.7804022882450603E-3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102.771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7">
        <f t="shared" si="1"/>
        <v>1.8456995201177051E-4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7">
        <f t="shared" si="1"/>
        <v>-5.6891172692237202E-3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7">
        <f t="shared" si="1"/>
        <v>1.4900353883404716E-2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7">
        <f t="shared" si="1"/>
        <v>-5.5845122859277119E-4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7">
        <f t="shared" si="1"/>
        <v>1.2820512820512775E-2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7">
        <f t="shared" si="1"/>
        <v>1.7846862406447839E-2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1">
        <f>AC2/AC3-1</f>
        <v>-4.6948356807510194E-3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1">
        <f t="shared" ref="AE3:AE66" si="3">AC3/AC4-1</f>
        <v>3.9024390243902474E-2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781</v>
      </c>
      <c r="O4" s="11" t="s">
        <v>66</v>
      </c>
      <c r="Q4" s="200">
        <v>1.94</v>
      </c>
      <c r="R4" s="499">
        <v>-1.52E-2</v>
      </c>
      <c r="T4" s="162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1">
        <f t="shared" si="3"/>
        <v>-4.2056074766355311E-2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7760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1">
        <f t="shared" si="3"/>
        <v>4.6948356807512415E-3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1">
        <f t="shared" si="3"/>
        <v>5.4455445544554504E-2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-2629.4199999999983</v>
      </c>
      <c r="R7">
        <v>3000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1">
        <f t="shared" si="3"/>
        <v>2.020202020202011E-2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-3064.3499999999985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1">
        <f t="shared" si="3"/>
        <v>-1.980198019801982E-2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-0.28309783035470942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1">
        <f t="shared" si="3"/>
        <v>-3.349282296650713E-2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1">
        <f t="shared" si="3"/>
        <v>7.7319587628865927E-2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1">
        <f t="shared" si="3"/>
        <v>-8.0568720379146863E-2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1">
        <f t="shared" si="3"/>
        <v>-0.10593220338983056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1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1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1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1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1">
        <f t="shared" si="3"/>
        <v>0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1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1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1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1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1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1">
        <f t="shared" si="3"/>
        <v>-5.1587301587301515E-2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1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1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1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1">
        <f t="shared" si="3"/>
        <v>-3.9145907473309594E-2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1">
        <f t="shared" si="3"/>
        <v>-0.11075949367088611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1">
        <f t="shared" si="3"/>
        <v>-2.4691358024691357E-2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1">
        <f t="shared" si="3"/>
        <v>-6.1349693251532278E-3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1">
        <f t="shared" si="3"/>
        <v>1.2422360248447006E-2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1">
        <f t="shared" si="3"/>
        <v>9.4043887147337024E-3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1">
        <f t="shared" si="3"/>
        <v>9.4936708860757779E-3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1">
        <f t="shared" si="3"/>
        <v>-3.154574132492094E-3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1">
        <f t="shared" si="3"/>
        <v>-1.2461059190031154E-2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1">
        <f t="shared" si="3"/>
        <v>1.904761904761898E-2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1">
        <f t="shared" si="3"/>
        <v>-9.4339622641510523E-3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1">
        <f t="shared" si="3"/>
        <v>9.523809523809712E-3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2.1339999999999999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1">
        <f t="shared" si="3"/>
        <v>-6.3091482649841879E-3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2.1146000000000003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1">
        <f t="shared" si="3"/>
        <v>9.5541401273884219E-3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2.0952000000000002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1">
        <f t="shared" si="3"/>
        <v>-1.8750000000000044E-2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2.0758000000000001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1">
        <f t="shared" si="3"/>
        <v>-2.7355623100303927E-2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2.0564</v>
      </c>
      <c r="Q45" s="2"/>
      <c r="T45" s="92" t="s">
        <v>100</v>
      </c>
      <c r="U45" s="87" t="s">
        <v>751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1">
        <f t="shared" si="3"/>
        <v>1.5432098765431945E-2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2.0369999999999999</v>
      </c>
      <c r="Q46" s="2"/>
      <c r="T46" s="92" t="s">
        <v>101</v>
      </c>
      <c r="U46" s="87" t="s">
        <v>752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1">
        <f t="shared" si="3"/>
        <v>-1.2195121951219412E-2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2.0175999999999998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1">
        <f t="shared" si="3"/>
        <v>-2.0895522388059806E-2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1.9982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1">
        <f t="shared" si="3"/>
        <v>0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1.9787999999999999</v>
      </c>
      <c r="Q49" s="2"/>
      <c r="T49" s="92" t="s">
        <v>122</v>
      </c>
      <c r="U49" s="87" t="s">
        <v>453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1">
        <f t="shared" si="3"/>
        <v>-1.4705882352941124E-2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1.9594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1">
        <f t="shared" si="3"/>
        <v>1.1904761904761862E-2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1.94</v>
      </c>
      <c r="Q51" s="2"/>
      <c r="T51" s="92" t="s">
        <v>105</v>
      </c>
      <c r="U51" s="87" t="s">
        <v>753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1">
        <f t="shared" si="3"/>
        <v>1.8181818181818299E-2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1.9205999999999999</v>
      </c>
      <c r="Q52" s="2"/>
      <c r="T52" s="92" t="s">
        <v>106</v>
      </c>
      <c r="U52" s="87" t="s">
        <v>579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1">
        <f t="shared" si="3"/>
        <v>-9.009009009009028E-3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1.9012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1">
        <f t="shared" si="3"/>
        <v>-2.0588235294117574E-2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1.8817999999999999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1">
        <f t="shared" si="3"/>
        <v>1.4925373134328401E-2</v>
      </c>
    </row>
    <row r="55" spans="1:31" x14ac:dyDescent="0.25">
      <c r="A55" t="s">
        <v>371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1.8623999999999998</v>
      </c>
      <c r="T55" s="92" t="s">
        <v>108</v>
      </c>
      <c r="U55" s="87" t="s">
        <v>754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1">
        <f t="shared" si="3"/>
        <v>2.9940119760478723E-3</v>
      </c>
    </row>
    <row r="56" spans="1:31" x14ac:dyDescent="0.25">
      <c r="A56" t="s">
        <v>378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1.843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1">
        <f t="shared" si="3"/>
        <v>-1.764705882352946E-2</v>
      </c>
    </row>
    <row r="57" spans="1:31" x14ac:dyDescent="0.25">
      <c r="A57" t="s">
        <v>379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1.8235999999999999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1">
        <f t="shared" si="3"/>
        <v>-2.9325513196482023E-3</v>
      </c>
    </row>
    <row r="58" spans="1:31" x14ac:dyDescent="0.25">
      <c r="A58" t="s">
        <v>425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1.8042</v>
      </c>
      <c r="T58" s="92" t="s">
        <v>109</v>
      </c>
      <c r="U58" s="87" t="s">
        <v>624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1">
        <f t="shared" si="3"/>
        <v>2.9411764705882248E-3</v>
      </c>
    </row>
    <row r="59" spans="1:31" x14ac:dyDescent="0.25">
      <c r="A59" t="s">
        <v>429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1.7847999999999999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1">
        <f t="shared" si="3"/>
        <v>2.9498525073745618E-3</v>
      </c>
    </row>
    <row r="60" spans="1:31" x14ac:dyDescent="0.25">
      <c r="A60" t="s">
        <v>477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1.7654000000000001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1">
        <f t="shared" si="3"/>
        <v>-2.3054755043227737E-2</v>
      </c>
    </row>
    <row r="61" spans="1:31" x14ac:dyDescent="0.25">
      <c r="A61" t="s">
        <v>481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1.746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1">
        <f t="shared" si="3"/>
        <v>-5.7306590257879542E-3</v>
      </c>
    </row>
    <row r="62" spans="1:31" x14ac:dyDescent="0.25">
      <c r="A62" t="s">
        <v>494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495</v>
      </c>
      <c r="J62" s="40"/>
      <c r="K62" s="235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1">
        <f t="shared" si="3"/>
        <v>-1.412429378531066E-2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1">
        <f t="shared" si="3"/>
        <v>-1.6666666666666718E-2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1">
        <f t="shared" si="3"/>
        <v>5.5865921787709993E-3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1">
        <f t="shared" si="3"/>
        <v>1.4164305949008638E-2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1">
        <f t="shared" si="3"/>
        <v>2.6162790697674465E-2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1">
        <f>AC67/AC68-1</f>
        <v>5.8461538461538343E-2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7" priority="25">
      <formula>F28&gt;0</formula>
    </cfRule>
    <cfRule type="expression" dxfId="126" priority="26">
      <formula>F28&lt;0</formula>
    </cfRule>
  </conditionalFormatting>
  <conditionalFormatting sqref="H118:H125">
    <cfRule type="expression" dxfId="125" priority="23">
      <formula>H118&gt;0</formula>
    </cfRule>
    <cfRule type="expression" dxfId="124" priority="24">
      <formula>H118&lt;0</formula>
    </cfRule>
  </conditionalFormatting>
  <conditionalFormatting sqref="H126">
    <cfRule type="expression" dxfId="123" priority="21">
      <formula>H126&gt;0</formula>
    </cfRule>
    <cfRule type="expression" dxfId="122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0:F33">
    <cfRule type="expression" dxfId="117" priority="9">
      <formula>F30&gt;0</formula>
    </cfRule>
    <cfRule type="expression" dxfId="116" priority="10">
      <formula>F30&lt;0</formula>
    </cfRule>
  </conditionalFormatting>
  <conditionalFormatting sqref="H30:H33">
    <cfRule type="expression" dxfId="115" priority="7">
      <formula>H30&gt;0</formula>
    </cfRule>
    <cfRule type="expression" dxfId="114" priority="8">
      <formula>H30&lt;0</formula>
    </cfRule>
  </conditionalFormatting>
  <conditionalFormatting sqref="K59:K93">
    <cfRule type="expression" dxfId="113" priority="5">
      <formula>K59&gt;0</formula>
    </cfRule>
    <cfRule type="expression" dxfId="112" priority="6">
      <formula>K59&lt;0</formula>
    </cfRule>
  </conditionalFormatting>
  <conditionalFormatting sqref="K66">
    <cfRule type="expression" dxfId="111" priority="3">
      <formula>K66&gt;0</formula>
    </cfRule>
    <cfRule type="expression" dxfId="110" priority="4">
      <formula>K66&lt;0</formula>
    </cfRule>
  </conditionalFormatting>
  <conditionalFormatting sqref="M63">
    <cfRule type="expression" dxfId="109" priority="1">
      <formula>M63&gt;0</formula>
    </cfRule>
    <cfRule type="expression" dxfId="10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1">
        <f>AC2/AC3-1</f>
        <v>-7.6142131979696215E-3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1">
        <f t="shared" ref="AE3:AE66" si="2">AC3/AC4-1</f>
        <v>-1.788375558867239E-3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66.06</v>
      </c>
      <c r="R4" s="499">
        <v>-9.5999999999999992E-3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1">
        <f t="shared" si="2"/>
        <v>-1.2073027090695021E-2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16515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1">
        <f t="shared" si="2"/>
        <v>5.7752110173256987E-3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1">
        <f t="shared" si="2"/>
        <v>4.014272970561894E-3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-3025.9900000000052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1">
        <f t="shared" si="2"/>
        <v>2.3845007451566147E-3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-3025.9900000000052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1">
        <f t="shared" si="2"/>
        <v>-5.9259259259260011E-3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-0.15485346443552778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1">
        <f t="shared" si="2"/>
        <v>-1.4812620352544492E-4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1">
        <f t="shared" si="2"/>
        <v>2.9634019854807292E-4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1">
        <f t="shared" si="2"/>
        <v>-5.0125313283208017E-3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1">
        <f t="shared" si="2"/>
        <v>1.3286093888398298E-3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1">
        <f t="shared" si="2"/>
        <v>-1.4117304613593396E-2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1">
        <f t="shared" si="2"/>
        <v>-5.068056762235873E-3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1">
        <f t="shared" si="2"/>
        <v>7.5868106215348785E-3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1">
        <f t="shared" si="2"/>
        <v>1.0223455527968994E-3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1">
        <f t="shared" si="2"/>
        <v>1.032905415375529E-2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1" t="e">
        <f t="shared" si="2"/>
        <v>#DIV/0!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555</v>
      </c>
      <c r="Y19" s="10"/>
      <c r="Z19" s="10"/>
      <c r="AA19" s="10"/>
      <c r="AB19" s="94"/>
      <c r="AC19" s="10"/>
      <c r="AD19" s="40">
        <f t="shared" si="1"/>
        <v>0</v>
      </c>
      <c r="AE19" s="161">
        <f t="shared" si="2"/>
        <v>-1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1">
        <f t="shared" si="2"/>
        <v>-1.329983744643215E-3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1">
        <f t="shared" si="2"/>
        <v>-2.9468100780905004E-3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1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1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1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1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1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1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1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1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1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1">
        <f t="shared" si="2"/>
        <v>8.2800697269027612E-3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1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1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1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1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1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1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1">
        <f t="shared" si="2"/>
        <v>-1.4896469536719303E-3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88" t="s">
        <v>540</v>
      </c>
      <c r="K39" s="689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1">
        <f t="shared" si="2"/>
        <v>1.9438116932422256E-2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1">
        <f t="shared" si="2"/>
        <v>1.1676140728222428E-2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1">
        <f t="shared" si="2"/>
        <v>-1.8546441495777888E-2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1">
        <f t="shared" si="2"/>
        <v>-8.6123742593358199E-2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72.666000000000011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1">
        <f t="shared" si="2"/>
        <v>1.0161469933184675E-2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72.005400000000009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1">
        <f t="shared" si="2"/>
        <v>6.9647583228849008E-4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71.344800000000006</v>
      </c>
      <c r="Q45" s="2"/>
      <c r="T45" s="92" t="s">
        <v>100</v>
      </c>
      <c r="U45" s="87" t="s">
        <v>755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1">
        <f t="shared" si="2"/>
        <v>1.255230125523088E-3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70.684200000000004</v>
      </c>
      <c r="Q46" s="2"/>
      <c r="T46" s="92" t="s">
        <v>101</v>
      </c>
      <c r="U46" s="87" t="s">
        <v>756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1">
        <f t="shared" si="2"/>
        <v>-7.7497924162746035E-3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70.023600000000002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1">
        <f t="shared" si="2"/>
        <v>5.0069541029207354E-3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69.363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1">
        <f t="shared" si="2"/>
        <v>1.3246899661781386E-2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68.702400000000011</v>
      </c>
      <c r="Q49" s="2"/>
      <c r="T49" s="92" t="s">
        <v>104</v>
      </c>
      <c r="U49" s="87" t="s">
        <v>625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1">
        <f t="shared" si="2"/>
        <v>3.3936651583710287E-3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68.041800000000009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1">
        <f t="shared" si="2"/>
        <v>5.6593095642321067E-4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67.381200000000007</v>
      </c>
      <c r="Q51" s="2"/>
      <c r="T51" s="92" t="s">
        <v>105</v>
      </c>
      <c r="U51" s="87" t="s">
        <v>757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1">
        <f t="shared" si="2"/>
        <v>-9.5291479820627245E-3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66.720600000000005</v>
      </c>
      <c r="Q52" s="2"/>
      <c r="T52" s="92" t="s">
        <v>106</v>
      </c>
      <c r="U52" s="87" t="s">
        <v>443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1">
        <f t="shared" si="2"/>
        <v>2.3669487878353213E-2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66.06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1">
        <f t="shared" si="2"/>
        <v>-6.2722736992161243E-3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65.3994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1">
        <f t="shared" si="2"/>
        <v>-4.5409394068396391E-3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64.738799999999998</v>
      </c>
      <c r="Q55" s="2"/>
      <c r="T55" s="92" t="s">
        <v>108</v>
      </c>
      <c r="U55" s="87" t="s">
        <v>758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1">
        <f t="shared" si="2"/>
        <v>-7.7442973810193383E-3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64.078199999999995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1">
        <f t="shared" si="2"/>
        <v>-7.8234143615535379E-3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63.4176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1">
        <f t="shared" si="2"/>
        <v>3.0829596412556004E-3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62.756999999999998</v>
      </c>
      <c r="T58" s="92" t="s">
        <v>109</v>
      </c>
      <c r="U58" s="87" t="s">
        <v>626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1">
        <f t="shared" si="2"/>
        <v>-1.5859881395669628E-2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62.096399999999996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1">
        <f t="shared" si="2"/>
        <v>-3.9835164835163583E-3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61.435800000000008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1">
        <f t="shared" si="2"/>
        <v>-5.600327824067719E-3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60.775200000000005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1">
        <f t="shared" si="2"/>
        <v>-1.6523374529822776E-2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60.114600000000003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1">
        <f t="shared" si="2"/>
        <v>-1.089556205155473E-2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59.454000000000001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1">
        <f t="shared" si="2"/>
        <v>4.6722733947404116E-3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1">
        <f t="shared" si="2"/>
        <v>-6.8938088293784006E-3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1">
        <f t="shared" si="2"/>
        <v>-4.8812664907650349E-3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1">
        <f t="shared" si="2"/>
        <v>3.0031254246500882E-2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1">
        <f>AC67/AC68-1</f>
        <v>3.5603715170278605E-2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362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384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400</v>
      </c>
      <c r="J117" s="10"/>
      <c r="K117" s="10"/>
    </row>
    <row r="118" spans="1:11" x14ac:dyDescent="0.25">
      <c r="A118" t="s">
        <v>384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424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362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438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457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460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475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424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A130">
        <v>250</v>
      </c>
      <c r="B130" s="192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1">
        <f t="shared" ref="H130" si="40">(E130-D130)/D130</f>
        <v>-0.15536564147177737</v>
      </c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107" priority="30">
      <formula>F50&gt;0</formula>
    </cfRule>
    <cfRule type="expression" dxfId="10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105" priority="23">
      <formula>F47&gt;0</formula>
    </cfRule>
    <cfRule type="expression" dxfId="104" priority="24">
      <formula>F47&lt;0</formula>
    </cfRule>
  </conditionalFormatting>
  <conditionalFormatting sqref="H47:I47">
    <cfRule type="expression" dxfId="103" priority="19">
      <formula>H47&gt;0</formula>
    </cfRule>
    <cfRule type="expression" dxfId="102" priority="20">
      <formula>H47&lt;0</formula>
    </cfRule>
  </conditionalFormatting>
  <conditionalFormatting sqref="H48:I48">
    <cfRule type="expression" dxfId="101" priority="17">
      <formula>H48&gt;0</formula>
    </cfRule>
    <cfRule type="expression" dxfId="100" priority="18">
      <formula>H48&lt;0</formula>
    </cfRule>
  </conditionalFormatting>
  <conditionalFormatting sqref="H49:I49">
    <cfRule type="expression" dxfId="99" priority="15">
      <formula>H49&gt;0</formula>
    </cfRule>
    <cfRule type="expression" dxfId="98" priority="16">
      <formula>H49&lt;0</formula>
    </cfRule>
  </conditionalFormatting>
  <conditionalFormatting sqref="F40:F46">
    <cfRule type="expression" dxfId="97" priority="13">
      <formula>F40&gt;0</formula>
    </cfRule>
    <cfRule type="expression" dxfId="96" priority="14">
      <formula>F40&lt;0</formula>
    </cfRule>
  </conditionalFormatting>
  <conditionalFormatting sqref="H40:I46">
    <cfRule type="expression" dxfId="95" priority="11">
      <formula>H40&gt;0</formula>
    </cfRule>
    <cfRule type="expression" dxfId="94" priority="12">
      <formula>H40&lt;0</formula>
    </cfRule>
  </conditionalFormatting>
  <conditionalFormatting sqref="I52 F52:F54">
    <cfRule type="expression" dxfId="93" priority="9">
      <formula>F52&gt;0</formula>
    </cfRule>
    <cfRule type="expression" dxfId="92" priority="10">
      <formula>F52&lt;0</formula>
    </cfRule>
  </conditionalFormatting>
  <conditionalFormatting sqref="Q8">
    <cfRule type="expression" dxfId="91" priority="5">
      <formula>Q8&gt;0</formula>
    </cfRule>
    <cfRule type="expression" dxfId="90" priority="6">
      <formula>Q8&lt;0</formula>
    </cfRule>
  </conditionalFormatting>
  <conditionalFormatting sqref="Q7">
    <cfRule type="expression" dxfId="89" priority="7">
      <formula>Q7&gt;0</formula>
    </cfRule>
    <cfRule type="expression" dxfId="88" priority="8">
      <formula>Q7&lt;0</formula>
    </cfRule>
  </conditionalFormatting>
  <conditionalFormatting sqref="F124:F130 H124:H130">
    <cfRule type="expression" dxfId="87" priority="1">
      <formula>F124&gt;0</formula>
    </cfRule>
    <cfRule type="expression" dxfId="8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7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68.8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7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68.8</v>
      </c>
      <c r="R4" s="499">
        <v>6.9999999999999999E-4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7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7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7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7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7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7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7">
        <f t="shared" si="1"/>
        <v>5.424137411481178E-3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7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7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7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7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7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7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7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7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7">
        <f t="shared" si="1"/>
        <v>6.3151710970772434E-3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7">
        <f t="shared" si="1"/>
        <v>-5.2593133674214698E-3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7">
        <f t="shared" si="1"/>
        <v>-1.3262217096727702E-2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7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7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7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7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7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7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7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7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7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7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7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7">
        <f t="shared" si="1"/>
        <v>1.1508951406649759E-2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7">
        <f t="shared" si="1"/>
        <v>2.421307506053294E-3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7">
        <f t="shared" si="1"/>
        <v>-2.5571814178151353E-3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7" t="e">
        <f t="shared" si="1"/>
        <v>#DIV/0!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42781</v>
      </c>
      <c r="X37" s="10" t="s">
        <v>467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7">
        <f t="shared" si="1"/>
        <v>1.4302059496573705E-4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7">
        <f t="shared" si="1"/>
        <v>-2.7100271002710175E-3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7">
        <f t="shared" si="1"/>
        <v>-2.1349274124680129E-3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7">
        <f t="shared" si="1"/>
        <v>1.4145496535796775E-2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7">
        <f t="shared" si="1"/>
        <v>-4.7406981755494515E-3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75.680000000000007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7">
        <f t="shared" si="1"/>
        <v>-4.0062956073830813E-3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74.992000000000004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7">
        <f t="shared" si="1"/>
        <v>-4.4159544159544373E-3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74.304000000000002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7">
        <f t="shared" si="1"/>
        <v>1.6949152542372836E-2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73.616</v>
      </c>
      <c r="Q46" s="82"/>
      <c r="T46" s="92" t="s">
        <v>101</v>
      </c>
      <c r="U46" s="87" t="s">
        <v>759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7">
        <f t="shared" si="1"/>
        <v>-5.188067444876765E-3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72.927999999999997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7">
        <f t="shared" si="1"/>
        <v>-1.8699654775603536E-3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72.239999999999995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7">
        <f t="shared" si="1"/>
        <v>-5.5786010585038293E-3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71.551999999999992</v>
      </c>
      <c r="Q49" s="82"/>
      <c r="T49" s="92" t="s">
        <v>122</v>
      </c>
      <c r="U49" s="87" t="s">
        <v>382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7">
        <f t="shared" si="1"/>
        <v>4.2930738408708535E-4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70.864000000000004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7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70.176000000000002</v>
      </c>
      <c r="Q51" s="82"/>
      <c r="T51" s="92" t="s">
        <v>105</v>
      </c>
      <c r="U51" s="87" t="s">
        <v>760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7">
        <f t="shared" si="1"/>
        <v>1.1252163877668808E-2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69.488</v>
      </c>
      <c r="Q52" s="82"/>
      <c r="T52" s="92" t="s">
        <v>106</v>
      </c>
      <c r="U52" s="87" t="s">
        <v>761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7">
        <f t="shared" si="1"/>
        <v>7.21813194745069E-4</v>
      </c>
    </row>
    <row r="53" spans="1:31" x14ac:dyDescent="0.25">
      <c r="O53" s="82">
        <v>1</v>
      </c>
      <c r="P53" s="82">
        <f t="shared" si="2"/>
        <v>68.8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7">
        <f t="shared" si="1"/>
        <v>5.4658952496954738E-2</v>
      </c>
    </row>
    <row r="54" spans="1:31" x14ac:dyDescent="0.25">
      <c r="O54" s="82">
        <v>0.99</v>
      </c>
      <c r="P54" s="82">
        <f t="shared" si="2"/>
        <v>68.111999999999995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7">
        <f t="shared" si="1"/>
        <v>-2.6674570243034879E-2</v>
      </c>
    </row>
    <row r="55" spans="1:31" x14ac:dyDescent="0.25">
      <c r="O55" s="82">
        <v>0.98</v>
      </c>
      <c r="P55" s="82">
        <f t="shared" si="2"/>
        <v>67.423999999999992</v>
      </c>
      <c r="Q55" s="82"/>
      <c r="T55" s="92" t="s">
        <v>108</v>
      </c>
      <c r="U55" s="87" t="s">
        <v>762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7">
        <f t="shared" si="1"/>
        <v>2.0790020790020236E-3</v>
      </c>
    </row>
    <row r="56" spans="1:31" x14ac:dyDescent="0.25">
      <c r="O56" s="82">
        <v>0.97</v>
      </c>
      <c r="P56" s="82">
        <f t="shared" si="2"/>
        <v>66.73599999999999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7">
        <f t="shared" si="1"/>
        <v>-1.4344262295081789E-2</v>
      </c>
    </row>
    <row r="57" spans="1:31" x14ac:dyDescent="0.25">
      <c r="O57" s="82">
        <v>0.96</v>
      </c>
      <c r="P57" s="82">
        <f t="shared" si="2"/>
        <v>66.048000000000002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7">
        <f t="shared" si="1"/>
        <v>7.6696165191740828E-3</v>
      </c>
    </row>
    <row r="58" spans="1:31" x14ac:dyDescent="0.25">
      <c r="O58" s="82">
        <v>0.95</v>
      </c>
      <c r="P58" s="82">
        <f t="shared" si="2"/>
        <v>65.36</v>
      </c>
      <c r="Q58" s="82"/>
      <c r="T58" s="92" t="s">
        <v>109</v>
      </c>
      <c r="U58" s="87" t="s">
        <v>589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7">
        <f t="shared" si="1"/>
        <v>-2.389864670313846E-2</v>
      </c>
    </row>
    <row r="59" spans="1:31" x14ac:dyDescent="0.25">
      <c r="O59" s="82">
        <v>0.94</v>
      </c>
      <c r="P59" s="82">
        <f t="shared" si="2"/>
        <v>64.671999999999997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7">
        <f t="shared" si="1"/>
        <v>1.253644314868807E-2</v>
      </c>
    </row>
    <row r="60" spans="1:31" x14ac:dyDescent="0.25">
      <c r="O60" s="82">
        <v>0.93</v>
      </c>
      <c r="P60" s="82">
        <f t="shared" si="2"/>
        <v>63.984000000000002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7">
        <f t="shared" si="1"/>
        <v>-1.3517400057521001E-2</v>
      </c>
    </row>
    <row r="61" spans="1:31" x14ac:dyDescent="0.25">
      <c r="O61" s="82">
        <v>0.92</v>
      </c>
      <c r="P61" s="82">
        <f t="shared" si="2"/>
        <v>63.295999999999999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7">
        <f t="shared" si="1"/>
        <v>7.2421784472769257E-3</v>
      </c>
    </row>
    <row r="62" spans="1:31" x14ac:dyDescent="0.25">
      <c r="O62" s="82">
        <v>0.91</v>
      </c>
      <c r="P62" s="82">
        <f t="shared" si="2"/>
        <v>62.607999999999997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7">
        <f t="shared" si="1"/>
        <v>1.4548126377663673E-2</v>
      </c>
    </row>
    <row r="63" spans="1:31" x14ac:dyDescent="0.25">
      <c r="O63" s="82">
        <v>0.9</v>
      </c>
      <c r="P63" s="82">
        <f t="shared" si="2"/>
        <v>61.92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7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7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7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7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7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5" priority="5">
      <formula>F21&gt;0</formula>
    </cfRule>
    <cfRule type="expression" dxfId="84" priority="6">
      <formula>F21&lt;0</formula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100</v>
      </c>
      <c r="U2" s="162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7">
        <f>AD2/AD3-1</f>
        <v>-2.2267899965742188E-3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60.83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7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547</v>
      </c>
      <c r="M4" s="4"/>
      <c r="O4" s="11" t="s">
        <v>66</v>
      </c>
      <c r="Q4" s="55">
        <v>58.16</v>
      </c>
      <c r="R4" s="499">
        <v>9.7000000000000003E-3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7">
        <f t="shared" si="1"/>
        <v>-7.7952889340789921E-3</v>
      </c>
    </row>
    <row r="5" spans="1:32" x14ac:dyDescent="0.25">
      <c r="B5" s="498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5816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7">
        <f t="shared" si="1"/>
        <v>-1.0157440325038181E-3</v>
      </c>
    </row>
    <row r="6" spans="1:32" x14ac:dyDescent="0.25">
      <c r="O6" s="11" t="s">
        <v>64</v>
      </c>
      <c r="Q6" s="2">
        <f>Q3*Q2</f>
        <v>6083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7">
        <f t="shared" si="1"/>
        <v>-6.224764468371391E-3</v>
      </c>
    </row>
    <row r="7" spans="1:32" x14ac:dyDescent="0.25">
      <c r="O7" s="11" t="s">
        <v>181</v>
      </c>
      <c r="Q7" s="2">
        <f>Q10+Q8</f>
        <v>-217.05000000000018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7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-267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7">
        <f t="shared" si="1"/>
        <v>3.7421330158189381E-3</v>
      </c>
    </row>
    <row r="9" spans="1:32" x14ac:dyDescent="0.25">
      <c r="O9" s="11" t="s">
        <v>213</v>
      </c>
      <c r="Q9" s="137">
        <f>IF(Q2=0, 0, Q8/Q6)</f>
        <v>-4.3892816044714782E-2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7">
        <f t="shared" si="1"/>
        <v>-6.2542258282622942E-3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7">
        <f t="shared" si="1"/>
        <v>-3.5371399696816352E-3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7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7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7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7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7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7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7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100</v>
      </c>
      <c r="D18" s="13"/>
      <c r="E18" s="13"/>
      <c r="F18" s="13">
        <f>SUM(F2:F17)</f>
        <v>6119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7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7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7">
        <f t="shared" si="1"/>
        <v>-9.8960910440382133E-4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7">
        <f t="shared" si="1"/>
        <v>9.3224571333445638E-3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7">
        <f t="shared" si="1"/>
        <v>-2.9875518672198842E-3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7">
        <f t="shared" si="1"/>
        <v>-2.9786529869270106E-3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7">
        <f t="shared" si="1"/>
        <v>-4.9398979087764694E-3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7">
        <f t="shared" si="1"/>
        <v>-2.9551797734361784E-3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7">
        <f t="shared" si="1"/>
        <v>5.9454995871179861E-3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7">
        <f t="shared" si="1"/>
        <v>2.9816133841311654E-3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7">
        <f t="shared" si="1"/>
        <v>7.1738405071737343E-3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7">
        <f t="shared" si="1"/>
        <v>-2.3301287273912341E-2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7">
        <f t="shared" si="1"/>
        <v>9.7071405067454819E-3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7">
        <f t="shared" si="1"/>
        <v>3.1358309952136398E-3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7">
        <f t="shared" si="1"/>
        <v>-7.046869878728268E-3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7">
        <f t="shared" si="1"/>
        <v>3.0221171703528782E-2</v>
      </c>
    </row>
    <row r="34" spans="1:32" x14ac:dyDescent="0.25">
      <c r="A34" t="s">
        <v>370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7">
        <f t="shared" si="1"/>
        <v>-3.7536561585960415E-2</v>
      </c>
    </row>
    <row r="35" spans="1:32" x14ac:dyDescent="0.25">
      <c r="A35" t="s">
        <v>464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7">
        <f t="shared" si="1"/>
        <v>-2.6111726539009283E-2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:F37" si="8">C36*(E36-D36)</f>
        <v>-56.497500000000223</v>
      </c>
      <c r="G36" s="40">
        <f t="shared" ref="G36:G37" si="9">D36*C36</f>
        <v>4643.4975000000004</v>
      </c>
      <c r="H36" s="230">
        <f t="shared" ref="H36:H37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7">
        <f t="shared" si="1"/>
        <v>1.5850372483752206E-3</v>
      </c>
    </row>
    <row r="37" spans="1:32" x14ac:dyDescent="0.25">
      <c r="A37">
        <v>75</v>
      </c>
      <c r="B37" s="192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30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7">
        <f t="shared" si="1"/>
        <v>3.1801558276356445E-3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7">
        <f t="shared" si="1"/>
        <v>2.0713830465264316E-3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7">
        <f t="shared" si="1"/>
        <v>-4.7573739295909689E-3</v>
      </c>
    </row>
    <row r="40" spans="1:32" x14ac:dyDescent="0.25">
      <c r="L40" t="s">
        <v>212</v>
      </c>
      <c r="M40" s="2">
        <f>M49+K49-F49</f>
        <v>49.949999999999818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7">
        <f t="shared" si="1"/>
        <v>1.3500482160077265E-2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7">
        <f t="shared" si="1"/>
        <v>6.4703979294726821E-3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63.975999999999999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7">
        <f t="shared" si="1"/>
        <v>6.1848958333334814E-3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63.394399999999997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7">
        <f t="shared" si="1"/>
        <v>-2.0564323290291675E-2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62.812800000000003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7">
        <f t="shared" si="1"/>
        <v>1.6364225534672761E-2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62.231200000000001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7">
        <f t="shared" si="1"/>
        <v>5.7031122698387726E-3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61.6496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7">
        <f t="shared" si="1"/>
        <v>-1.7765685019206168E-2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61.067999999999998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7">
        <f t="shared" si="1"/>
        <v>-1.9169329073482899E-3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60.486399999999996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7">
        <f t="shared" si="1"/>
        <v>-1.913265306122458E-3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59.904799999999994</v>
      </c>
      <c r="Q49" s="2"/>
      <c r="T49" s="92" t="s">
        <v>122</v>
      </c>
      <c r="U49" s="129" t="s">
        <v>585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7">
        <f t="shared" si="1"/>
        <v>3.1897926634760765E-4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59.3232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7">
        <f t="shared" si="1"/>
        <v>-4.9198539914298012E-3</v>
      </c>
    </row>
    <row r="51" spans="1:32" x14ac:dyDescent="0.25">
      <c r="O51" s="82">
        <v>1.01</v>
      </c>
      <c r="P51" s="82">
        <f t="shared" si="11"/>
        <v>58.741599999999998</v>
      </c>
      <c r="Q51" s="2"/>
      <c r="T51" s="92" t="s">
        <v>105</v>
      </c>
      <c r="U51" s="129" t="s">
        <v>763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7">
        <f t="shared" si="1"/>
        <v>5.4252433381203335E-3</v>
      </c>
    </row>
    <row r="52" spans="1:32" x14ac:dyDescent="0.25">
      <c r="O52" s="82">
        <v>1</v>
      </c>
      <c r="P52" s="82">
        <f t="shared" si="11"/>
        <v>58.16</v>
      </c>
      <c r="Q52" s="2"/>
      <c r="T52" s="92" t="s">
        <v>106</v>
      </c>
      <c r="U52" s="129" t="s">
        <v>764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7">
        <f t="shared" si="1"/>
        <v>8.8538312942691988E-3</v>
      </c>
    </row>
    <row r="53" spans="1:32" x14ac:dyDescent="0.25">
      <c r="O53" s="82">
        <v>0.99</v>
      </c>
      <c r="P53" s="82">
        <f t="shared" si="11"/>
        <v>57.578399999999995</v>
      </c>
      <c r="Q53" s="2"/>
      <c r="T53" s="506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7">
        <f t="shared" si="1"/>
        <v>-4.806151874399256E-3</v>
      </c>
    </row>
    <row r="54" spans="1:32" x14ac:dyDescent="0.25">
      <c r="O54" s="82">
        <v>0.98</v>
      </c>
      <c r="P54" s="82">
        <f t="shared" si="11"/>
        <v>56.996799999999993</v>
      </c>
      <c r="Q54" s="2"/>
      <c r="T54" s="506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7">
        <f t="shared" si="1"/>
        <v>1.2489862124898776E-2</v>
      </c>
    </row>
    <row r="55" spans="1:32" x14ac:dyDescent="0.25">
      <c r="O55" s="82">
        <v>0.97</v>
      </c>
      <c r="P55" s="82">
        <f t="shared" si="11"/>
        <v>56.415199999999999</v>
      </c>
      <c r="T55" s="92" t="s">
        <v>108</v>
      </c>
      <c r="U55" s="129" t="s">
        <v>765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7">
        <f t="shared" si="1"/>
        <v>-6.9265463917526082E-3</v>
      </c>
    </row>
    <row r="56" spans="1:32" x14ac:dyDescent="0.25">
      <c r="O56" s="82">
        <v>0.96</v>
      </c>
      <c r="P56" s="82">
        <f t="shared" si="11"/>
        <v>55.833599999999997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7">
        <f t="shared" si="1"/>
        <v>1.6134236850597894E-3</v>
      </c>
    </row>
    <row r="57" spans="1:32" x14ac:dyDescent="0.25">
      <c r="O57" s="82">
        <v>0.95</v>
      </c>
      <c r="P57" s="82">
        <f t="shared" si="11"/>
        <v>55.251999999999995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7">
        <f t="shared" si="1"/>
        <v>1.4734774066797574E-2</v>
      </c>
    </row>
    <row r="58" spans="1:32" x14ac:dyDescent="0.25">
      <c r="O58" s="82">
        <v>0.94</v>
      </c>
      <c r="P58" s="82">
        <f t="shared" si="11"/>
        <v>54.670399999999994</v>
      </c>
      <c r="T58" s="92" t="s">
        <v>109</v>
      </c>
      <c r="U58" s="129" t="s">
        <v>627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7">
        <f t="shared" si="1"/>
        <v>-3.1010282356782604E-3</v>
      </c>
    </row>
    <row r="59" spans="1:32" x14ac:dyDescent="0.25">
      <c r="O59" s="82">
        <v>0.93</v>
      </c>
      <c r="P59" s="82">
        <f t="shared" si="11"/>
        <v>54.088799999999999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7">
        <f t="shared" si="1"/>
        <v>4.7556575926535061E-3</v>
      </c>
    </row>
    <row r="60" spans="1:32" x14ac:dyDescent="0.25">
      <c r="O60" s="82">
        <v>0.92</v>
      </c>
      <c r="P60" s="82">
        <f t="shared" si="11"/>
        <v>53.507199999999997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7">
        <f t="shared" si="1"/>
        <v>8.7675765095118763E-3</v>
      </c>
    </row>
    <row r="61" spans="1:32" x14ac:dyDescent="0.25">
      <c r="O61" s="82">
        <v>0.91</v>
      </c>
      <c r="P61" s="82">
        <f t="shared" si="11"/>
        <v>52.925599999999996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7">
        <f t="shared" si="1"/>
        <v>-1.8163804491413416E-3</v>
      </c>
    </row>
    <row r="62" spans="1:32" x14ac:dyDescent="0.25">
      <c r="O62" s="82">
        <v>0.9</v>
      </c>
      <c r="P62" s="82">
        <f t="shared" si="11"/>
        <v>52.344000000000001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7">
        <f t="shared" si="1"/>
        <v>-1.4803969415975171E-2</v>
      </c>
    </row>
    <row r="63" spans="1:32" x14ac:dyDescent="0.25"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7" t="e">
        <f t="shared" si="1"/>
        <v>#DIV/0!</v>
      </c>
    </row>
    <row r="64" spans="1:32" x14ac:dyDescent="0.25"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7">
        <f t="shared" si="1"/>
        <v>-1</v>
      </c>
    </row>
    <row r="65" spans="24:32" x14ac:dyDescent="0.25"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7">
        <f t="shared" si="1"/>
        <v>2.9225523623965799E-3</v>
      </c>
    </row>
    <row r="66" spans="24:32" x14ac:dyDescent="0.25"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7">
        <f t="shared" si="1"/>
        <v>-3.246226261970353E-4</v>
      </c>
    </row>
    <row r="67" spans="24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7">
        <f>AD67/AD68-1</f>
        <v>5.2210801109480176E-3</v>
      </c>
    </row>
    <row r="68" spans="24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79" priority="13">
      <formula>F22&gt;0</formula>
    </cfRule>
    <cfRule type="expression" dxfId="78" priority="14">
      <formula>F22&lt;0</formula>
    </cfRule>
  </conditionalFormatting>
  <conditionalFormatting sqref="H22:H39">
    <cfRule type="expression" dxfId="77" priority="11">
      <formula>H22&gt;0</formula>
    </cfRule>
    <cfRule type="expression" dxfId="76" priority="12">
      <formula>H22&lt;0</formula>
    </cfRule>
  </conditionalFormatting>
  <conditionalFormatting sqref="Q8">
    <cfRule type="expression" dxfId="75" priority="7">
      <formula>Q8&gt;0</formula>
    </cfRule>
    <cfRule type="expression" dxfId="74" priority="8">
      <formula>Q8&lt;0</formula>
    </cfRule>
  </conditionalFormatting>
  <conditionalFormatting sqref="Q7">
    <cfRule type="expression" dxfId="73" priority="9">
      <formula>Q7&gt;0</formula>
    </cfRule>
    <cfRule type="expression" dxfId="72" priority="10">
      <formula>Q7&lt;0</formula>
    </cfRule>
  </conditionalFormatting>
  <conditionalFormatting sqref="M40">
    <cfRule type="expression" dxfId="71" priority="5">
      <formula>M40&gt;0</formula>
    </cfRule>
    <cfRule type="expression" dxfId="70" priority="6">
      <formula>M40&lt;0</formula>
    </cfRule>
  </conditionalFormatting>
  <conditionalFormatting sqref="J36">
    <cfRule type="expression" dxfId="69" priority="3">
      <formula>J36&gt;0</formula>
    </cfRule>
    <cfRule type="expression" dxfId="68" priority="4">
      <formula>J36&lt;0</formula>
    </cfRule>
  </conditionalFormatting>
  <conditionalFormatting sqref="J37">
    <cfRule type="expression" dxfId="67" priority="1">
      <formula>J37&gt;0</formula>
    </cfRule>
    <cfRule type="expression" dxfId="66" priority="2">
      <formula>J37&lt;0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7">
        <f>AC2/AC3-1</f>
        <v>-7.8786110300554935E-3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33.69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7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33.69</v>
      </c>
      <c r="R4" s="499">
        <v>-6.1999999999999998E-3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7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7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7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7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7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7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7">
        <f t="shared" si="1"/>
        <v>8.7565674255694059E-3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7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7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7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7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7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7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7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7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7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7">
        <f t="shared" si="1"/>
        <v>0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7">
        <f t="shared" si="1"/>
        <v>-1.1805741883552545E-2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7" t="e">
        <f t="shared" si="1"/>
        <v>#DIV/0!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7">
        <f t="shared" si="1"/>
        <v>-1.0391686650679466E-2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7">
        <f t="shared" si="1"/>
        <v>-8.1923890063425597E-3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7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7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7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7">
        <f t="shared" si="1"/>
        <v>-1.1385199240986799E-2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7">
        <f t="shared" si="1"/>
        <v>9.8549137695045363E-3</v>
      </c>
    </row>
    <row r="31" spans="1:31" x14ac:dyDescent="0.25">
      <c r="A31" s="387" t="s">
        <v>56</v>
      </c>
      <c r="B31" s="71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7">
        <f t="shared" si="1"/>
        <v>-9.2215893680498429E-3</v>
      </c>
    </row>
    <row r="32" spans="1:31" x14ac:dyDescent="0.25">
      <c r="A32" s="388" t="s">
        <v>71</v>
      </c>
      <c r="B32" s="71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7">
        <f t="shared" si="1"/>
        <v>-1.5750133475707528E-2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7">
        <f t="shared" si="1"/>
        <v>8.0149612610203036E-4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7">
        <f t="shared" si="1"/>
        <v>1.601520086862096E-2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7">
        <f t="shared" si="1"/>
        <v>5.1841746248295628E-3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7">
        <f t="shared" si="1"/>
        <v>-1.3623978201635634E-3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7">
        <f t="shared" si="1"/>
        <v>-4.3407487791643495E-3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7">
        <f t="shared" si="1"/>
        <v>4.8350398179749732E-2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7">
        <f t="shared" si="1"/>
        <v>1.0054582016661762E-2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7">
        <f t="shared" si="1"/>
        <v>2.5921658986176599E-3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7">
        <f t="shared" si="1"/>
        <v>-1.7251293847039273E-3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37.058999999999997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7">
        <f t="shared" si="1"/>
        <v>1.1514104778354017E-3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36.722099999999998</v>
      </c>
      <c r="Q43" s="2"/>
      <c r="T43" s="160" t="s">
        <v>98</v>
      </c>
      <c r="U43" s="160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7">
        <f t="shared" si="1"/>
        <v>-4.7174986286341203E-2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36.385199999999998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7">
        <f t="shared" si="1"/>
        <v>1.3904338153504003E-2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36.048299999999998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7">
        <f t="shared" si="1"/>
        <v>1.668080294034513E-2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35.711399999999998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7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35.374499999999998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7">
        <f t="shared" si="1"/>
        <v>-1.2969094922737234E-2</v>
      </c>
    </row>
    <row r="48" spans="1:31" x14ac:dyDescent="0.25">
      <c r="O48" s="82">
        <v>1.04</v>
      </c>
      <c r="P48" s="82">
        <f t="shared" si="2"/>
        <v>35.037599999999998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7">
        <f t="shared" si="1"/>
        <v>7.7864293659621886E-3</v>
      </c>
    </row>
    <row r="49" spans="15:31" x14ac:dyDescent="0.25">
      <c r="O49" s="82">
        <v>1.03</v>
      </c>
      <c r="P49" s="82">
        <f t="shared" si="2"/>
        <v>34.700699999999998</v>
      </c>
      <c r="Q49" s="2"/>
      <c r="T49" s="10" t="s">
        <v>104</v>
      </c>
      <c r="U49" s="10" t="s">
        <v>590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7">
        <f t="shared" si="1"/>
        <v>-1.8558951965065518E-2</v>
      </c>
    </row>
    <row r="50" spans="15:31" x14ac:dyDescent="0.25">
      <c r="O50" s="82">
        <v>1.02</v>
      </c>
      <c r="P50" s="82">
        <f t="shared" si="2"/>
        <v>34.363799999999998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7">
        <f t="shared" si="1"/>
        <v>-1.3462574044157294E-2</v>
      </c>
    </row>
    <row r="51" spans="15:31" x14ac:dyDescent="0.25">
      <c r="O51" s="82">
        <v>1.01</v>
      </c>
      <c r="P51" s="82">
        <f t="shared" si="2"/>
        <v>34.026899999999998</v>
      </c>
      <c r="Q51" s="2"/>
      <c r="T51" s="10" t="s">
        <v>105</v>
      </c>
      <c r="U51" s="10" t="s">
        <v>766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7">
        <f t="shared" si="1"/>
        <v>-1.9794140934283444E-2</v>
      </c>
    </row>
    <row r="52" spans="15:31" x14ac:dyDescent="0.25">
      <c r="O52" s="82">
        <v>1</v>
      </c>
      <c r="P52" s="82">
        <f t="shared" si="2"/>
        <v>33.69</v>
      </c>
      <c r="Q52" s="2"/>
      <c r="T52" s="10" t="s">
        <v>106</v>
      </c>
      <c r="U52" s="10" t="s">
        <v>523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7">
        <f t="shared" si="1"/>
        <v>3.4398034398034349E-2</v>
      </c>
    </row>
    <row r="53" spans="15:31" x14ac:dyDescent="0.25">
      <c r="O53" s="82">
        <v>0.99</v>
      </c>
      <c r="P53" s="82">
        <f t="shared" si="2"/>
        <v>33.353099999999998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7">
        <f t="shared" si="1"/>
        <v>9.6471885336273377E-3</v>
      </c>
    </row>
    <row r="54" spans="15:31" x14ac:dyDescent="0.25">
      <c r="O54" s="82">
        <v>0.98</v>
      </c>
      <c r="P54" s="82">
        <f t="shared" si="2"/>
        <v>33.016199999999998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7">
        <f t="shared" si="1"/>
        <v>-9.8253275109170257E-3</v>
      </c>
    </row>
    <row r="55" spans="15:31" x14ac:dyDescent="0.25">
      <c r="O55" s="82">
        <v>0.97</v>
      </c>
      <c r="P55" s="82">
        <f t="shared" si="2"/>
        <v>32.679299999999998</v>
      </c>
      <c r="T55" s="10" t="s">
        <v>108</v>
      </c>
      <c r="U55" s="10" t="s">
        <v>767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7">
        <f t="shared" si="1"/>
        <v>-7.5839653304442534E-3</v>
      </c>
    </row>
    <row r="56" spans="15:31" x14ac:dyDescent="0.25">
      <c r="O56" s="82">
        <v>0.96</v>
      </c>
      <c r="P56" s="82">
        <f t="shared" si="2"/>
        <v>32.342399999999998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7">
        <f t="shared" si="1"/>
        <v>-4.5834456726880912E-3</v>
      </c>
    </row>
    <row r="57" spans="15:31" x14ac:dyDescent="0.25">
      <c r="O57" s="82">
        <v>0.95</v>
      </c>
      <c r="P57" s="82">
        <f t="shared" si="2"/>
        <v>32.005499999999998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7">
        <f t="shared" si="1"/>
        <v>4.3325209856486246E-3</v>
      </c>
    </row>
    <row r="58" spans="15:31" x14ac:dyDescent="0.25">
      <c r="O58" s="82">
        <v>0.94</v>
      </c>
      <c r="P58" s="82">
        <f t="shared" si="2"/>
        <v>31.668599999999994</v>
      </c>
      <c r="T58" s="10" t="s">
        <v>109</v>
      </c>
      <c r="U58" s="10" t="s">
        <v>628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7">
        <f t="shared" si="1"/>
        <v>-8.116883116883189E-4</v>
      </c>
    </row>
    <row r="59" spans="15:31" x14ac:dyDescent="0.25">
      <c r="O59" s="82">
        <v>0.93</v>
      </c>
      <c r="P59" s="82">
        <f t="shared" si="2"/>
        <v>31.331699999999998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7">
        <f t="shared" si="1"/>
        <v>-4.5785079450579858E-3</v>
      </c>
    </row>
    <row r="60" spans="15:31" x14ac:dyDescent="0.25">
      <c r="O60" s="82">
        <v>0.92</v>
      </c>
      <c r="P60" s="82">
        <f t="shared" si="2"/>
        <v>30.994799999999998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7">
        <f t="shared" si="1"/>
        <v>-1.1711471919084282E-2</v>
      </c>
    </row>
    <row r="61" spans="15:31" x14ac:dyDescent="0.25">
      <c r="O61" s="82">
        <v>0.91</v>
      </c>
      <c r="P61" s="82">
        <f t="shared" si="2"/>
        <v>30.657899999999998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7">
        <f t="shared" si="1"/>
        <v>1.6229375169056093E-2</v>
      </c>
    </row>
    <row r="62" spans="15:31" x14ac:dyDescent="0.25">
      <c r="O62" s="82">
        <v>0.9</v>
      </c>
      <c r="P62" s="82">
        <f t="shared" si="2"/>
        <v>30.320999999999998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7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7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7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7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7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7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65" priority="7">
      <formula>F22&gt;0</formula>
    </cfRule>
    <cfRule type="expression" dxfId="64" priority="8">
      <formula>F22&lt;0</formula>
    </cfRule>
  </conditionalFormatting>
  <conditionalFormatting sqref="H22:H26">
    <cfRule type="expression" dxfId="63" priority="5">
      <formula>H22&gt;0</formula>
    </cfRule>
    <cfRule type="expression" dxfId="62" priority="6">
      <formula>H22&lt;0</formula>
    </cfRule>
  </conditionalFormatting>
  <conditionalFormatting sqref="Q8">
    <cfRule type="expression" dxfId="61" priority="1">
      <formula>Q8&gt;0</formula>
    </cfRule>
    <cfRule type="expression" dxfId="60" priority="2">
      <formula>Q8&lt;0</formula>
    </cfRule>
  </conditionalFormatting>
  <conditionalFormatting sqref="Q7">
    <cfRule type="expression" dxfId="59" priority="3">
      <formula>Q7&gt;0</formula>
    </cfRule>
    <cfRule type="expression" dxfId="5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153.27000000000001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153.27000000000001</v>
      </c>
      <c r="R4" s="499">
        <v>-2.8E-3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7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7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7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7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7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7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7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7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3" t="s">
        <v>78</v>
      </c>
      <c r="P45" s="703"/>
      <c r="T45" s="92" t="s">
        <v>100</v>
      </c>
      <c r="U45" s="432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168.59700000000004</v>
      </c>
      <c r="Q46" s="2"/>
      <c r="T46" s="92" t="s">
        <v>101</v>
      </c>
      <c r="U46" s="432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167.06430000000003</v>
      </c>
      <c r="Q47" s="2"/>
      <c r="T47" s="92" t="s">
        <v>102</v>
      </c>
      <c r="U47" s="432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165.53160000000003</v>
      </c>
      <c r="Q48" s="2"/>
      <c r="T48" s="92" t="s">
        <v>103</v>
      </c>
      <c r="U48" s="432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163.99890000000002</v>
      </c>
      <c r="Q49" s="2"/>
      <c r="T49" s="92" t="s">
        <v>104</v>
      </c>
      <c r="U49" s="432" t="s">
        <v>629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162.46620000000001</v>
      </c>
      <c r="Q50" s="2"/>
      <c r="T50" s="92"/>
      <c r="U50" s="432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160.93350000000001</v>
      </c>
      <c r="Q51" s="2"/>
      <c r="T51" s="92" t="s">
        <v>105</v>
      </c>
      <c r="U51" s="432" t="s">
        <v>768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159.4008</v>
      </c>
      <c r="Q52" s="2"/>
      <c r="T52" s="92" t="s">
        <v>106</v>
      </c>
      <c r="U52" s="432" t="s">
        <v>591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157.86810000000003</v>
      </c>
      <c r="Q53" s="2"/>
      <c r="T53" s="92" t="s">
        <v>107</v>
      </c>
      <c r="U53" s="433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156.33540000000002</v>
      </c>
      <c r="Q54" s="2"/>
      <c r="T54" s="92" t="s">
        <v>110</v>
      </c>
      <c r="U54" s="433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154.80270000000002</v>
      </c>
      <c r="Q55" s="2"/>
      <c r="T55" s="92" t="s">
        <v>108</v>
      </c>
      <c r="U55" s="432" t="s">
        <v>769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7"/>
    </row>
    <row r="56" spans="1:31" x14ac:dyDescent="0.25">
      <c r="O56" s="82">
        <v>1</v>
      </c>
      <c r="P56" s="82">
        <f t="shared" si="0"/>
        <v>153.27000000000001</v>
      </c>
      <c r="Q56" s="2"/>
      <c r="T56" s="92" t="s">
        <v>111</v>
      </c>
      <c r="U56" s="432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7"/>
    </row>
    <row r="57" spans="1:31" x14ac:dyDescent="0.25">
      <c r="O57" s="82">
        <v>0.99</v>
      </c>
      <c r="P57" s="82">
        <f t="shared" si="0"/>
        <v>151.7373</v>
      </c>
      <c r="Q57" s="2"/>
      <c r="T57" s="92" t="s">
        <v>112</v>
      </c>
      <c r="U57" s="432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7"/>
    </row>
    <row r="58" spans="1:31" x14ac:dyDescent="0.25">
      <c r="O58" s="82">
        <v>0.98</v>
      </c>
      <c r="P58" s="82">
        <f t="shared" si="0"/>
        <v>150.2046</v>
      </c>
      <c r="Q58" s="2"/>
      <c r="T58" s="92" t="s">
        <v>109</v>
      </c>
      <c r="U58" s="432" t="s">
        <v>580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7"/>
    </row>
    <row r="59" spans="1:31" x14ac:dyDescent="0.25">
      <c r="O59" s="82">
        <v>0.97</v>
      </c>
      <c r="P59" s="82">
        <f t="shared" si="0"/>
        <v>148.67189999999999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7"/>
    </row>
    <row r="60" spans="1:31" x14ac:dyDescent="0.25">
      <c r="O60" s="82">
        <v>0.96</v>
      </c>
      <c r="P60" s="82">
        <f t="shared" si="0"/>
        <v>147.13920000000002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7"/>
    </row>
    <row r="61" spans="1:31" x14ac:dyDescent="0.25">
      <c r="O61" s="82">
        <v>0.95</v>
      </c>
      <c r="P61" s="82">
        <f t="shared" si="0"/>
        <v>145.60650000000001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7"/>
    </row>
    <row r="62" spans="1:31" x14ac:dyDescent="0.25">
      <c r="O62" s="82">
        <v>0.94</v>
      </c>
      <c r="P62" s="82">
        <f t="shared" si="0"/>
        <v>144.07380000000001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7"/>
    </row>
    <row r="63" spans="1:31" x14ac:dyDescent="0.25">
      <c r="O63" s="82">
        <v>0.93</v>
      </c>
      <c r="P63" s="82">
        <f t="shared" si="0"/>
        <v>142.54110000000003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7"/>
    </row>
    <row r="64" spans="1:31" x14ac:dyDescent="0.25">
      <c r="O64" s="82">
        <v>0.92</v>
      </c>
      <c r="P64" s="82">
        <f t="shared" si="0"/>
        <v>141.00840000000002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7"/>
    </row>
    <row r="65" spans="15:31" x14ac:dyDescent="0.25">
      <c r="O65" s="82">
        <v>0.91</v>
      </c>
      <c r="P65" s="82">
        <f t="shared" si="0"/>
        <v>139.47570000000002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7"/>
    </row>
    <row r="66" spans="15:31" x14ac:dyDescent="0.25">
      <c r="O66" s="82">
        <v>0.9</v>
      </c>
      <c r="P66" s="82">
        <f t="shared" si="0"/>
        <v>137.94300000000001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7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7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57" priority="17">
      <formula>F21&gt;0</formula>
    </cfRule>
    <cfRule type="expression" dxfId="56" priority="18">
      <formula>F21&lt;0</formula>
    </cfRule>
  </conditionalFormatting>
  <conditionalFormatting sqref="H26 H31:H41 H21">
    <cfRule type="expression" dxfId="55" priority="15">
      <formula>H21&gt;0</formula>
    </cfRule>
    <cfRule type="expression" dxfId="54" priority="16">
      <formula>H21&lt;0</formula>
    </cfRule>
  </conditionalFormatting>
  <conditionalFormatting sqref="Q7">
    <cfRule type="expression" dxfId="53" priority="9">
      <formula>Q7&gt;0</formula>
    </cfRule>
    <cfRule type="expression" dxfId="52" priority="10">
      <formula>Q7&lt;0</formula>
    </cfRule>
  </conditionalFormatting>
  <conditionalFormatting sqref="Q8">
    <cfRule type="expression" dxfId="51" priority="7">
      <formula>Q8&gt;0</formula>
    </cfRule>
    <cfRule type="expression" dxfId="50" priority="8">
      <formula>Q8&lt;0</formula>
    </cfRule>
  </conditionalFormatting>
  <conditionalFormatting sqref="F27:F30 F22:F25">
    <cfRule type="expression" dxfId="49" priority="5">
      <formula>F22&gt;0</formula>
    </cfRule>
    <cfRule type="expression" dxfId="48" priority="6">
      <formula>F22&lt;0</formula>
    </cfRule>
  </conditionalFormatting>
  <conditionalFormatting sqref="H27:H30 H22:H25">
    <cfRule type="expression" dxfId="47" priority="3">
      <formula>H22&gt;0</formula>
    </cfRule>
    <cfRule type="expression" dxfId="46" priority="4">
      <formula>H22&lt;0</formula>
    </cfRule>
  </conditionalFormatting>
  <conditionalFormatting sqref="M43">
    <cfRule type="expression" dxfId="45" priority="1">
      <formula>M43&gt;0</formula>
    </cfRule>
    <cfRule type="expression" dxfId="44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7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43.6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7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43.6</v>
      </c>
      <c r="R4" s="499">
        <v>9.2999999999999992E-3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7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7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7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7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7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7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7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7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7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7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7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7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7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7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7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7">
        <f t="shared" si="1"/>
        <v>6.7340067340069254E-3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7">
        <f t="shared" si="1"/>
        <v>2.7681660899653959E-2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7">
        <f t="shared" si="1"/>
        <v>-2.3648648648648574E-2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7">
        <f t="shared" si="1"/>
        <v>-7.8212290502793769E-3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7">
        <f t="shared" si="1"/>
        <v>-1.7563117453347932E-2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7">
        <f t="shared" si="1"/>
        <v>1.2222222222222134E-2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7">
        <f t="shared" si="1"/>
        <v>1.2373453318335059E-2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7">
        <f t="shared" si="1"/>
        <v>-2.3076923076922995E-2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7">
        <f t="shared" si="1"/>
        <v>2.9411764705882248E-2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7">
        <f t="shared" si="1"/>
        <v>-8.9686098654707669E-3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7">
        <f t="shared" si="1"/>
        <v>3.600464576074347E-2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7">
        <f t="shared" si="1"/>
        <v>0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7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7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7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7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7">
        <f t="shared" si="1"/>
        <v>-8.950548221078547E-3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7">
        <f t="shared" si="1"/>
        <v>-8.8711465956976543E-3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7">
        <f t="shared" si="1"/>
        <v>-4.1961130742048658E-3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7">
        <f t="shared" si="1"/>
        <v>8.6879037647582535E-3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7">
        <f t="shared" si="1"/>
        <v>1.9300635785649334E-2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7">
        <f t="shared" si="1"/>
        <v>6.8587105624142719E-3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7">
        <f t="shared" si="1"/>
        <v>-1.1301989150090397E-2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47.960000000000008</v>
      </c>
      <c r="T43" s="92" t="s">
        <v>98</v>
      </c>
      <c r="U43" s="432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7">
        <f t="shared" si="1"/>
        <v>-5.6192402787142992E-3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47.524000000000008</v>
      </c>
      <c r="T44" s="92" t="s">
        <v>99</v>
      </c>
      <c r="U44" s="432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7">
        <f t="shared" si="1"/>
        <v>3.3829499323410062E-3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47.088000000000008</v>
      </c>
      <c r="T45" s="92" t="s">
        <v>100</v>
      </c>
      <c r="U45" s="432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7">
        <f t="shared" si="1"/>
        <v>9.1033227127903515E-3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46.652000000000001</v>
      </c>
      <c r="Q46" s="2"/>
      <c r="T46" s="92" t="s">
        <v>101</v>
      </c>
      <c r="U46" s="432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7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46.216000000000001</v>
      </c>
      <c r="Q47" s="2"/>
      <c r="T47" s="92" t="s">
        <v>102</v>
      </c>
      <c r="U47" s="432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7">
        <f t="shared" si="1"/>
        <v>7.9293158133213471E-3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45.78</v>
      </c>
      <c r="Q48" s="2"/>
      <c r="T48" s="92" t="s">
        <v>103</v>
      </c>
      <c r="U48" s="432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7">
        <f t="shared" si="1"/>
        <v>-7.8669363902000855E-3</v>
      </c>
    </row>
    <row r="49" spans="15:31" x14ac:dyDescent="0.25">
      <c r="O49" s="82">
        <v>1.04</v>
      </c>
      <c r="P49" s="82">
        <f t="shared" si="5"/>
        <v>45.344000000000001</v>
      </c>
      <c r="Q49" s="2"/>
      <c r="T49" s="92" t="s">
        <v>122</v>
      </c>
      <c r="U49" s="432" t="s">
        <v>399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7">
        <f t="shared" si="1"/>
        <v>-1.4399645547186535E-2</v>
      </c>
    </row>
    <row r="50" spans="15:31" x14ac:dyDescent="0.25">
      <c r="O50" s="82">
        <v>1.03</v>
      </c>
      <c r="P50" s="82">
        <f t="shared" si="5"/>
        <v>44.908000000000001</v>
      </c>
      <c r="Q50" s="2"/>
      <c r="T50" s="92"/>
      <c r="U50" s="432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7">
        <f t="shared" si="1"/>
        <v>3.3188372625314821E-2</v>
      </c>
    </row>
    <row r="51" spans="15:31" x14ac:dyDescent="0.25">
      <c r="O51" s="82">
        <v>1.02</v>
      </c>
      <c r="P51" s="82">
        <f t="shared" si="5"/>
        <v>44.472000000000001</v>
      </c>
      <c r="Q51" s="2"/>
      <c r="T51" s="92" t="s">
        <v>105</v>
      </c>
      <c r="U51" s="432" t="s">
        <v>770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7">
        <f t="shared" si="1"/>
        <v>-1.6876687668766932E-2</v>
      </c>
    </row>
    <row r="52" spans="15:31" x14ac:dyDescent="0.25">
      <c r="O52" s="82">
        <v>1.01</v>
      </c>
      <c r="P52" s="82">
        <f t="shared" si="5"/>
        <v>44.036000000000001</v>
      </c>
      <c r="Q52" s="2"/>
      <c r="T52" s="92" t="s">
        <v>106</v>
      </c>
      <c r="U52" s="432" t="s">
        <v>480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7">
        <f t="shared" si="1"/>
        <v>1.2531328320801949E-2</v>
      </c>
    </row>
    <row r="53" spans="15:31" x14ac:dyDescent="0.25">
      <c r="O53" s="82">
        <v>1</v>
      </c>
      <c r="P53" s="82">
        <f t="shared" si="5"/>
        <v>43.6</v>
      </c>
      <c r="Q53" s="2"/>
      <c r="T53" s="92" t="s">
        <v>107</v>
      </c>
      <c r="U53" s="433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7">
        <f t="shared" si="1"/>
        <v>3.7588652482269502E-2</v>
      </c>
    </row>
    <row r="54" spans="15:31" x14ac:dyDescent="0.25">
      <c r="O54" s="82">
        <v>0.99</v>
      </c>
      <c r="P54" s="82">
        <f t="shared" si="5"/>
        <v>43.164000000000001</v>
      </c>
      <c r="Q54" s="2"/>
      <c r="T54" s="92" t="s">
        <v>110</v>
      </c>
      <c r="U54" s="433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7">
        <f t="shared" si="1"/>
        <v>-9.3676814988291612E-3</v>
      </c>
    </row>
    <row r="55" spans="15:31" x14ac:dyDescent="0.25">
      <c r="O55" s="82">
        <v>0.98</v>
      </c>
      <c r="P55" s="82">
        <f t="shared" si="5"/>
        <v>42.728000000000002</v>
      </c>
      <c r="Q55" s="2"/>
      <c r="T55" s="92" t="s">
        <v>108</v>
      </c>
      <c r="U55" s="432" t="s">
        <v>771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7">
        <f t="shared" si="1"/>
        <v>-9.2807424593966958E-3</v>
      </c>
    </row>
    <row r="56" spans="15:31" x14ac:dyDescent="0.25">
      <c r="O56" s="82">
        <v>0.97</v>
      </c>
      <c r="P56" s="82">
        <f t="shared" si="5"/>
        <v>42.292000000000002</v>
      </c>
      <c r="Q56" s="2"/>
      <c r="T56" s="92" t="s">
        <v>111</v>
      </c>
      <c r="U56" s="432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7">
        <f t="shared" si="1"/>
        <v>-1.1241110346409733E-2</v>
      </c>
    </row>
    <row r="57" spans="15:31" x14ac:dyDescent="0.25">
      <c r="O57" s="82">
        <v>0.96</v>
      </c>
      <c r="P57" s="82">
        <f t="shared" si="5"/>
        <v>41.856000000000002</v>
      </c>
      <c r="Q57" s="2"/>
      <c r="T57" s="92" t="s">
        <v>112</v>
      </c>
      <c r="U57" s="432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7">
        <f t="shared" si="1"/>
        <v>1.1483693155720509E-3</v>
      </c>
    </row>
    <row r="58" spans="15:31" x14ac:dyDescent="0.25">
      <c r="O58" s="82">
        <v>0.95</v>
      </c>
      <c r="P58" s="82">
        <f t="shared" si="5"/>
        <v>41.42</v>
      </c>
      <c r="Q58" s="2"/>
      <c r="T58" s="92" t="s">
        <v>109</v>
      </c>
      <c r="U58" s="432" t="s">
        <v>630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7">
        <f t="shared" si="1"/>
        <v>-9.1033227127901295E-3</v>
      </c>
    </row>
    <row r="59" spans="15:31" x14ac:dyDescent="0.25">
      <c r="O59" s="82">
        <v>0.94</v>
      </c>
      <c r="P59" s="82">
        <f t="shared" si="5"/>
        <v>40.984000000000002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7">
        <f t="shared" si="1"/>
        <v>3.1455399061032674E-2</v>
      </c>
    </row>
    <row r="60" spans="15:31" x14ac:dyDescent="0.25">
      <c r="O60" s="82">
        <v>0.93</v>
      </c>
      <c r="P60" s="82">
        <f t="shared" si="5"/>
        <v>40.548000000000002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7">
        <f t="shared" si="1"/>
        <v>-1.1600928074245953E-2</v>
      </c>
    </row>
    <row r="61" spans="15:31" x14ac:dyDescent="0.25">
      <c r="O61" s="82">
        <v>0.92</v>
      </c>
      <c r="P61" s="82">
        <f t="shared" si="5"/>
        <v>40.112000000000002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7">
        <f t="shared" si="1"/>
        <v>2.3752969121140222E-2</v>
      </c>
    </row>
    <row r="62" spans="15:31" x14ac:dyDescent="0.25">
      <c r="O62" s="82">
        <v>0.91</v>
      </c>
      <c r="P62" s="82">
        <f t="shared" si="5"/>
        <v>39.676000000000002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7">
        <f t="shared" si="1"/>
        <v>1.7891682785299956E-2</v>
      </c>
    </row>
    <row r="63" spans="15:31" x14ac:dyDescent="0.25">
      <c r="O63" s="82">
        <v>0.9</v>
      </c>
      <c r="P63" s="82">
        <f t="shared" si="5"/>
        <v>39.24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7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7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7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7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7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43" priority="7">
      <formula>F21&gt;0</formula>
    </cfRule>
    <cfRule type="expression" dxfId="42" priority="8">
      <formula>F21&lt;0</formula>
    </cfRule>
  </conditionalFormatting>
  <conditionalFormatting sqref="H21:H32">
    <cfRule type="expression" dxfId="41" priority="5">
      <formula>H21&gt;0</formula>
    </cfRule>
    <cfRule type="expression" dxfId="40" priority="6">
      <formula>H21&lt;0</formula>
    </cfRule>
  </conditionalFormatting>
  <conditionalFormatting sqref="Q8">
    <cfRule type="expression" dxfId="39" priority="1">
      <formula>Q8&gt;0</formula>
    </cfRule>
    <cfRule type="expression" dxfId="38" priority="2">
      <formula>Q8&lt;0</formula>
    </cfRule>
  </conditionalFormatting>
  <conditionalFormatting sqref="Q7">
    <cfRule type="expression" dxfId="37" priority="3">
      <formula>Q7&gt;0</formula>
    </cfRule>
    <cfRule type="expression" dxfId="3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7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113.56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7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113.56</v>
      </c>
      <c r="R4" s="499">
        <v>2.5999999999999999E-3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7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7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7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7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7">
        <f t="shared" si="1"/>
        <v>8.1373513368505623E-3</v>
      </c>
    </row>
    <row r="9" spans="1:31" x14ac:dyDescent="0.25">
      <c r="O9" s="11" t="s">
        <v>213</v>
      </c>
      <c r="Q9" s="137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7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7">
        <f t="shared" si="1"/>
        <v>-3.5765379113028573E-4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7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7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7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7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7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7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7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7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7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7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7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7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7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7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7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7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7">
        <f t="shared" si="1"/>
        <v>1.0039982230120037E-2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7">
        <f t="shared" si="1"/>
        <v>-2.3047602162928893E-3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7">
        <f t="shared" si="1"/>
        <v>3.112217677396556E-3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7">
        <f t="shared" si="1"/>
        <v>3.3009189044517218E-3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7">
        <f t="shared" si="1"/>
        <v>-5.0594709746137889E-3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7">
        <f t="shared" si="1"/>
        <v>1.4222222222222136E-3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7">
        <f t="shared" si="1"/>
        <v>3.1208203299153414E-3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7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7">
        <f t="shared" si="1"/>
        <v>1.429720310964111E-3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7" t="e">
        <f t="shared" si="1"/>
        <v>#DIV/0!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7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7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124.91600000000001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7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123.78040000000001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7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122.6448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7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121.50920000000001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7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120.37360000000001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7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119.23800000000001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7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118.1024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7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116.96680000000001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7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115.83120000000001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7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114.6956</v>
      </c>
      <c r="T49" s="92" t="s">
        <v>122</v>
      </c>
      <c r="U49" s="87" t="s">
        <v>399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7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113.56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7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112.42440000000001</v>
      </c>
      <c r="T51" s="92" t="s">
        <v>105</v>
      </c>
      <c r="U51" s="87" t="s">
        <v>772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7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111.28879999999999</v>
      </c>
      <c r="T52" s="92" t="s">
        <v>106</v>
      </c>
      <c r="U52" s="87" t="s">
        <v>558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7">
        <f t="shared" si="1"/>
        <v>-5.8584948174854601E-3</v>
      </c>
    </row>
    <row r="53" spans="15:31" x14ac:dyDescent="0.25">
      <c r="P53" s="82">
        <v>0.97</v>
      </c>
      <c r="Q53" s="82">
        <f t="shared" si="2"/>
        <v>110.1532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7">
        <f t="shared" si="1"/>
        <v>1.1486917677089981E-2</v>
      </c>
    </row>
    <row r="54" spans="15:31" x14ac:dyDescent="0.25">
      <c r="P54" s="82">
        <v>0.96</v>
      </c>
      <c r="Q54" s="82">
        <f t="shared" si="2"/>
        <v>109.0176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7">
        <f t="shared" si="1"/>
        <v>-3.9952783074548304E-3</v>
      </c>
    </row>
    <row r="55" spans="15:31" x14ac:dyDescent="0.25">
      <c r="P55" s="82">
        <v>0.95</v>
      </c>
      <c r="Q55" s="82">
        <f t="shared" si="2"/>
        <v>107.88199999999999</v>
      </c>
      <c r="T55" s="92" t="s">
        <v>108</v>
      </c>
      <c r="U55" s="87" t="s">
        <v>773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7">
        <f t="shared" si="1"/>
        <v>5.4510765876258915E-4</v>
      </c>
    </row>
    <row r="56" spans="15:31" x14ac:dyDescent="0.25">
      <c r="P56" s="82">
        <v>0.94</v>
      </c>
      <c r="Q56" s="82">
        <f t="shared" si="2"/>
        <v>106.74639999999999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7">
        <f t="shared" si="1"/>
        <v>2.7329871549603979E-3</v>
      </c>
    </row>
    <row r="57" spans="15:31" x14ac:dyDescent="0.25">
      <c r="P57" s="82">
        <v>0.93</v>
      </c>
      <c r="Q57" s="82">
        <f t="shared" si="2"/>
        <v>105.61080000000001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7">
        <f t="shared" si="1"/>
        <v>4.1163556531285117E-3</v>
      </c>
    </row>
    <row r="58" spans="15:31" x14ac:dyDescent="0.25">
      <c r="P58" s="82">
        <v>0.92</v>
      </c>
      <c r="Q58" s="82">
        <f t="shared" si="2"/>
        <v>104.4752</v>
      </c>
      <c r="T58" s="92" t="s">
        <v>109</v>
      </c>
      <c r="U58" s="87" t="s">
        <v>631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7">
        <f t="shared" si="1"/>
        <v>-2.2816464360683186E-3</v>
      </c>
    </row>
    <row r="59" spans="15:31" x14ac:dyDescent="0.25">
      <c r="P59" s="82">
        <v>0.91</v>
      </c>
      <c r="Q59" s="82">
        <f t="shared" si="2"/>
        <v>103.3396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7">
        <f t="shared" si="1"/>
        <v>-5.3558460421205822E-3</v>
      </c>
    </row>
    <row r="60" spans="15:31" x14ac:dyDescent="0.25">
      <c r="P60" s="82">
        <v>0.9</v>
      </c>
      <c r="Q60" s="82">
        <f t="shared" si="2"/>
        <v>102.20400000000001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7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7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7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7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7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7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7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7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5" priority="3">
      <formula>Q7&gt;0</formula>
    </cfRule>
    <cfRule type="expression" dxfId="34" priority="4">
      <formula>Q7&lt;0</formula>
    </cfRule>
  </conditionalFormatting>
  <conditionalFormatting sqref="Q8">
    <cfRule type="expression" dxfId="33" priority="1">
      <formula>Q8&gt;0</formula>
    </cfRule>
    <cfRule type="expression" dxfId="3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7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168.59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7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168.59</v>
      </c>
      <c r="R4" s="499">
        <v>8.3999999999999995E-3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7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7">
        <f t="shared" si="1"/>
        <v>-5.9397539244804287E-3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7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7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7">
        <f t="shared" si="1"/>
        <v>4.5565006075334313E-3</v>
      </c>
    </row>
    <row r="9" spans="1:43" x14ac:dyDescent="0.25">
      <c r="O9" s="11" t="s">
        <v>213</v>
      </c>
      <c r="Q9" s="137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7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7">
        <f t="shared" si="1"/>
        <v>-1.75449210478551E-3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7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7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7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7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7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7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7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7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7">
        <f t="shared" si="1"/>
        <v>1.3531003647488937E-3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7">
        <f t="shared" si="1"/>
        <v>1.1725492530206605E-2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7">
        <f t="shared" si="1"/>
        <v>5.9555714370795876E-4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7" t="e">
        <f t="shared" si="1"/>
        <v>#DIV/0!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42802</v>
      </c>
      <c r="X23" s="10" t="s">
        <v>599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7">
        <f t="shared" si="1"/>
        <v>-2.3204617123816496E-3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7">
        <f t="shared" si="1"/>
        <v>2.9239766081869956E-3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7">
        <f t="shared" si="1"/>
        <v>5.3392525046493944E-3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7">
        <f t="shared" si="1"/>
        <v>-3.7652402581879185E-3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7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7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7">
        <f t="shared" si="1"/>
        <v>1.4281317328408871E-2</v>
      </c>
    </row>
    <row r="31" spans="1:31" x14ac:dyDescent="0.25">
      <c r="G31" s="3"/>
      <c r="H31" s="232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7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7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7">
        <f t="shared" si="1"/>
        <v>0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7">
        <f t="shared" si="1"/>
        <v>1.8722537094822522E-2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7">
        <f t="shared" si="1"/>
        <v>-3.6862119725220799E-2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7">
        <f t="shared" si="1"/>
        <v>-3.910068426197566E-3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7">
        <f t="shared" si="1"/>
        <v>7.1375830666995377E-3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7">
        <f t="shared" si="1"/>
        <v>7.0016729661070976E-3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7">
        <f t="shared" si="1"/>
        <v>7.7427411801433976E-3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7">
        <f t="shared" si="1"/>
        <v>1.9394394394394165E-3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7">
        <f t="shared" si="1"/>
        <v>8.1397533028604308E-4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185.44900000000001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7">
        <f t="shared" si="1"/>
        <v>-1.3756018257987668E-3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183.76310000000001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7">
        <f t="shared" si="1"/>
        <v>1.2507035207320882E-4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182.0772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7">
        <f t="shared" si="1"/>
        <v>-8.4330625658833869E-3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180.3913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7">
        <f t="shared" si="1"/>
        <v>6.9305694305694665E-3</v>
      </c>
    </row>
    <row r="46" spans="1:31" x14ac:dyDescent="0.25">
      <c r="O46" s="82">
        <v>1.06</v>
      </c>
      <c r="P46" s="82">
        <f t="shared" si="5"/>
        <v>178.70540000000003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7">
        <f t="shared" si="1"/>
        <v>-1.2028869286287214E-2</v>
      </c>
    </row>
    <row r="47" spans="1:31" x14ac:dyDescent="0.25">
      <c r="O47" s="82">
        <v>1.05</v>
      </c>
      <c r="P47" s="82">
        <f t="shared" si="5"/>
        <v>177.01950000000002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7">
        <f t="shared" si="1"/>
        <v>3.7770897832818395E-3</v>
      </c>
    </row>
    <row r="48" spans="1:31" x14ac:dyDescent="0.25">
      <c r="O48" s="82">
        <v>1.04</v>
      </c>
      <c r="P48" s="82">
        <f t="shared" si="5"/>
        <v>175.33360000000002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7">
        <f t="shared" si="1"/>
        <v>6.1923338906311187E-5</v>
      </c>
    </row>
    <row r="49" spans="15:31" x14ac:dyDescent="0.25">
      <c r="O49" s="82">
        <v>1.03</v>
      </c>
      <c r="P49" s="82">
        <f t="shared" si="5"/>
        <v>173.64770000000001</v>
      </c>
      <c r="Q49" s="82"/>
      <c r="T49" s="92" t="s">
        <v>104</v>
      </c>
      <c r="U49" s="87" t="s">
        <v>574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7">
        <f t="shared" si="1"/>
        <v>-5.4809705628771077E-3</v>
      </c>
    </row>
    <row r="50" spans="15:31" x14ac:dyDescent="0.25">
      <c r="O50" s="82">
        <v>1.02</v>
      </c>
      <c r="P50" s="82">
        <f t="shared" si="5"/>
        <v>171.96180000000001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7">
        <f t="shared" si="1"/>
        <v>1.4184397163119478E-3</v>
      </c>
    </row>
    <row r="51" spans="15:31" x14ac:dyDescent="0.25">
      <c r="O51" s="82">
        <v>1.01</v>
      </c>
      <c r="P51" s="82">
        <f t="shared" si="5"/>
        <v>170.27590000000001</v>
      </c>
      <c r="Q51" s="82"/>
      <c r="T51" s="92" t="s">
        <v>105</v>
      </c>
      <c r="U51" s="87" t="s">
        <v>774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7">
        <f t="shared" si="1"/>
        <v>9.3999003984064355E-3</v>
      </c>
    </row>
    <row r="52" spans="15:31" x14ac:dyDescent="0.25">
      <c r="O52" s="82">
        <v>1</v>
      </c>
      <c r="P52" s="82">
        <f t="shared" si="5"/>
        <v>168.59</v>
      </c>
      <c r="Q52" s="82"/>
      <c r="T52" s="92" t="s">
        <v>106</v>
      </c>
      <c r="U52" s="87" t="s">
        <v>569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7">
        <f t="shared" si="1"/>
        <v>5.0678846274163636E-3</v>
      </c>
    </row>
    <row r="53" spans="15:31" x14ac:dyDescent="0.25">
      <c r="O53" s="82">
        <v>0.99</v>
      </c>
      <c r="P53" s="82">
        <f t="shared" si="5"/>
        <v>166.9041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7">
        <f t="shared" si="1"/>
        <v>8.5184250378598225E-3</v>
      </c>
    </row>
    <row r="54" spans="15:31" x14ac:dyDescent="0.25">
      <c r="O54" s="82">
        <v>0.98</v>
      </c>
      <c r="P54" s="82">
        <f t="shared" si="5"/>
        <v>165.2182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7">
        <f t="shared" si="1"/>
        <v>2.593787562472194E-3</v>
      </c>
    </row>
    <row r="55" spans="15:31" x14ac:dyDescent="0.25">
      <c r="O55" s="82">
        <v>0.97</v>
      </c>
      <c r="P55" s="82">
        <f t="shared" si="5"/>
        <v>163.53229999999999</v>
      </c>
      <c r="Q55" s="82"/>
      <c r="T55" s="92" t="s">
        <v>108</v>
      </c>
      <c r="U55" s="87" t="s">
        <v>775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7">
        <f t="shared" si="1"/>
        <v>-2.5298842577969882E-4</v>
      </c>
    </row>
    <row r="56" spans="15:31" x14ac:dyDescent="0.25">
      <c r="O56" s="82">
        <v>0.96</v>
      </c>
      <c r="P56" s="82">
        <f t="shared" si="5"/>
        <v>161.84639999999999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7">
        <f t="shared" si="1"/>
        <v>6.1088132357620673E-3</v>
      </c>
    </row>
    <row r="57" spans="15:31" x14ac:dyDescent="0.25">
      <c r="O57" s="82">
        <v>0.95</v>
      </c>
      <c r="P57" s="82">
        <f t="shared" si="5"/>
        <v>160.16049999999998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7">
        <f t="shared" si="1"/>
        <v>-1.8180682244158364E-2</v>
      </c>
    </row>
    <row r="58" spans="15:31" x14ac:dyDescent="0.25">
      <c r="O58" s="82">
        <v>0.94</v>
      </c>
      <c r="P58" s="82">
        <f t="shared" si="5"/>
        <v>158.47459999999998</v>
      </c>
      <c r="Q58" s="82"/>
      <c r="T58" s="92" t="s">
        <v>109</v>
      </c>
      <c r="U58" s="87" t="s">
        <v>632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7">
        <f t="shared" si="1"/>
        <v>-7.0719602977666884E-3</v>
      </c>
    </row>
    <row r="59" spans="15:31" x14ac:dyDescent="0.25">
      <c r="O59" s="82">
        <v>0.93</v>
      </c>
      <c r="P59" s="82">
        <f t="shared" si="5"/>
        <v>156.78870000000001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7">
        <f t="shared" si="1"/>
        <v>-3.4619188921859445E-3</v>
      </c>
    </row>
    <row r="60" spans="15:31" x14ac:dyDescent="0.25">
      <c r="O60" s="82">
        <v>0.92</v>
      </c>
      <c r="P60" s="82">
        <f t="shared" si="5"/>
        <v>155.1028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7">
        <f t="shared" si="1"/>
        <v>2.914005828011712E-3</v>
      </c>
    </row>
    <row r="61" spans="15:31" x14ac:dyDescent="0.25">
      <c r="O61" s="82">
        <v>0.91</v>
      </c>
      <c r="P61" s="82">
        <f t="shared" si="5"/>
        <v>153.4169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7">
        <f t="shared" si="1"/>
        <v>1.9257050565286704E-3</v>
      </c>
    </row>
    <row r="62" spans="15:31" x14ac:dyDescent="0.25">
      <c r="O62" s="82">
        <v>0.9</v>
      </c>
      <c r="P62" s="82">
        <f t="shared" si="5"/>
        <v>151.73099999999999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7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7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7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7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7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7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31" priority="13">
      <formula>F21&gt;0</formula>
    </cfRule>
    <cfRule type="expression" dxfId="30" priority="14">
      <formula>F21&lt;0</formula>
    </cfRule>
  </conditionalFormatting>
  <conditionalFormatting sqref="F22">
    <cfRule type="expression" dxfId="29" priority="11">
      <formula>F22&gt;0</formula>
    </cfRule>
    <cfRule type="expression" dxfId="28" priority="12">
      <formula>F22&lt;0</formula>
    </cfRule>
  </conditionalFormatting>
  <conditionalFormatting sqref="F23:F30">
    <cfRule type="expression" dxfId="27" priority="9">
      <formula>F23&gt;0</formula>
    </cfRule>
    <cfRule type="expression" dxfId="26" priority="10">
      <formula>F23&lt;0</formula>
    </cfRule>
  </conditionalFormatting>
  <conditionalFormatting sqref="H21:H31">
    <cfRule type="expression" dxfId="25" priority="7">
      <formula>H21&gt;0</formula>
    </cfRule>
    <cfRule type="expression" dxfId="24" priority="8">
      <formula>H21&lt;0</formula>
    </cfRule>
  </conditionalFormatting>
  <conditionalFormatting sqref="F24">
    <cfRule type="expression" dxfId="23" priority="5">
      <formula>F24&gt;0</formula>
    </cfRule>
    <cfRule type="expression" dxfId="22" priority="6">
      <formula>F24&lt;0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115</vt:i4>
      </vt:variant>
    </vt:vector>
  </HeadingPairs>
  <TitlesOfParts>
    <vt:vector size="17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2017-04-18T23:13:44Z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