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6.xml" ContentType="application/vnd.openxmlformats-officedocument.spreadsheetml.queryTable+xml"/>
  <Override PartName="/xl/tables/table4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WFC!#REF!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9" i="103" l="1"/>
  <c r="H29" i="103"/>
  <c r="G29" i="103"/>
  <c r="F18" i="77"/>
  <c r="C18" i="77"/>
  <c r="F36" i="51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/>
  <c r="M625" i="38"/>
  <c r="N625" i="38" s="1"/>
  <c r="S625" i="38"/>
  <c r="V625" i="38"/>
  <c r="P625" i="38" l="1"/>
  <c r="Q625" i="38" s="1"/>
  <c r="W625" i="38"/>
  <c r="X625" i="38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V624" i="38" s="1"/>
  <c r="E624" i="38"/>
  <c r="G624" i="38"/>
  <c r="H624" i="38"/>
  <c r="K624" i="38"/>
  <c r="L624" i="38" s="1"/>
  <c r="M624" i="38"/>
  <c r="N624" i="38" s="1"/>
  <c r="S624" i="38"/>
  <c r="Y625" i="38" l="1"/>
  <c r="X624" i="38"/>
  <c r="O624" i="38"/>
  <c r="Z624" i="38"/>
  <c r="P624" i="38"/>
  <c r="Q624" i="38" s="1"/>
  <c r="W624" i="38"/>
  <c r="U624" i="38"/>
  <c r="F32" i="58"/>
  <c r="C32" i="58"/>
  <c r="A623" i="38"/>
  <c r="D623" i="38"/>
  <c r="E623" i="38"/>
  <c r="G623" i="38"/>
  <c r="H623" i="38"/>
  <c r="K623" i="38"/>
  <c r="L623" i="38" s="1"/>
  <c r="M623" i="38"/>
  <c r="N623" i="38" s="1"/>
  <c r="S623" i="38"/>
  <c r="V623" i="38"/>
  <c r="Y624" i="38" l="1"/>
  <c r="X623" i="38"/>
  <c r="O623" i="38"/>
  <c r="Z623" i="38"/>
  <c r="P623" i="38"/>
  <c r="Q623" i="38" s="1"/>
  <c r="W623" i="38"/>
  <c r="U623" i="38"/>
  <c r="F28" i="99"/>
  <c r="G28" i="99"/>
  <c r="H28" i="99"/>
  <c r="U621" i="38"/>
  <c r="A622" i="38"/>
  <c r="D622" i="38"/>
  <c r="E622" i="38"/>
  <c r="G622" i="38"/>
  <c r="H622" i="38"/>
  <c r="K622" i="38"/>
  <c r="L622" i="38"/>
  <c r="P622" i="38" s="1"/>
  <c r="Q622" i="38" s="1"/>
  <c r="M622" i="38"/>
  <c r="N622" i="38" s="1"/>
  <c r="S622" i="38"/>
  <c r="V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Y623" i="38" l="1"/>
  <c r="W622" i="38"/>
  <c r="U622" i="38"/>
  <c r="X622" i="38"/>
  <c r="O622" i="38"/>
  <c r="Y622" i="38" s="1"/>
  <c r="Z622" i="38"/>
  <c r="Q11" i="49"/>
  <c r="R11" i="49"/>
  <c r="C23" i="81"/>
  <c r="H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P621" i="38" s="1"/>
  <c r="Q621" i="38" s="1"/>
  <c r="M621" i="38"/>
  <c r="N621" i="38" s="1"/>
  <c r="S621" i="38"/>
  <c r="V621" i="38"/>
  <c r="W621" i="38"/>
  <c r="Q13" i="89"/>
  <c r="Q13" i="75"/>
  <c r="Q13" i="31"/>
  <c r="Q13" i="93"/>
  <c r="Q13" i="97"/>
  <c r="Q13" i="100"/>
  <c r="Q11" i="100"/>
  <c r="Q13" i="49"/>
  <c r="Q13" i="102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X621" i="38" l="1"/>
  <c r="O621" i="38"/>
  <c r="Y621" i="38" s="1"/>
  <c r="Z621" i="38"/>
  <c r="Q13" i="88"/>
  <c r="Q13" i="82"/>
  <c r="F58" i="77"/>
  <c r="H58" i="77"/>
  <c r="G58" i="77"/>
  <c r="F27" i="100" l="1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H32" i="58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C18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N619" i="38"/>
  <c r="S619" i="38"/>
  <c r="F200" i="25"/>
  <c r="H200" i="25"/>
  <c r="G200" i="25"/>
  <c r="K54" i="25"/>
  <c r="F90" i="58"/>
  <c r="H90" i="58"/>
  <c r="G90" i="58"/>
  <c r="K16" i="58"/>
  <c r="O619" i="38" l="1"/>
  <c r="Z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C41" i="51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C19" i="103"/>
  <c r="H85" i="103"/>
  <c r="K19" i="103"/>
  <c r="M85" i="103"/>
  <c r="H19" i="103"/>
  <c r="F85" i="103"/>
  <c r="K85" i="103"/>
  <c r="C85" i="103"/>
  <c r="F19" i="103"/>
  <c r="M19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19" i="102"/>
  <c r="F19" i="102"/>
  <c r="F85" i="102"/>
  <c r="M85" i="102"/>
  <c r="K85" i="102"/>
  <c r="C19" i="102"/>
  <c r="H19" i="102"/>
  <c r="K19" i="102"/>
  <c r="C85" i="102"/>
  <c r="H85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C85" i="101"/>
  <c r="M19" i="100"/>
  <c r="M19" i="101"/>
  <c r="M19" i="99"/>
  <c r="C85" i="100"/>
  <c r="H19" i="99"/>
  <c r="K19" i="100"/>
  <c r="H85" i="101"/>
  <c r="K19" i="99"/>
  <c r="H85" i="100"/>
  <c r="C19" i="100"/>
  <c r="F85" i="99"/>
  <c r="K85" i="100"/>
  <c r="F85" i="101"/>
  <c r="H85" i="99"/>
  <c r="K85" i="101"/>
  <c r="M85" i="101"/>
  <c r="F19" i="99"/>
  <c r="C85" i="99"/>
  <c r="M85" i="99"/>
  <c r="M85" i="100"/>
  <c r="F19" i="100"/>
  <c r="K85" i="99"/>
  <c r="C19" i="99"/>
  <c r="F85" i="100"/>
  <c r="H19" i="100"/>
  <c r="F19" i="101"/>
  <c r="C19" i="101"/>
  <c r="K19" i="101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K85" i="97"/>
  <c r="C85" i="97"/>
  <c r="H85" i="98"/>
  <c r="C85" i="98"/>
  <c r="C19" i="97"/>
  <c r="C19" i="98"/>
  <c r="F19" i="97"/>
  <c r="F85" i="98"/>
  <c r="H85" i="97"/>
  <c r="H19" i="98"/>
  <c r="K19" i="97"/>
  <c r="H19" i="97"/>
  <c r="F85" i="97"/>
  <c r="K85" i="98"/>
  <c r="M19" i="97"/>
  <c r="M19" i="98"/>
  <c r="F19" i="98"/>
  <c r="M85" i="98"/>
  <c r="M85" i="97"/>
  <c r="K19" i="98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K19" i="96"/>
  <c r="M85" i="96"/>
  <c r="C19" i="96"/>
  <c r="H19" i="96"/>
  <c r="F85" i="96"/>
  <c r="C85" i="96"/>
  <c r="H85" i="96"/>
  <c r="K85" i="96"/>
  <c r="F19" i="96"/>
  <c r="M19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M19" i="95"/>
  <c r="C19" i="95"/>
  <c r="M85" i="95"/>
  <c r="K85" i="95"/>
  <c r="C85" i="95"/>
  <c r="F19" i="95"/>
  <c r="H85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M19" i="94"/>
  <c r="C85" i="94"/>
  <c r="M85" i="94"/>
  <c r="K85" i="94"/>
  <c r="H19" i="94"/>
  <c r="H85" i="94"/>
  <c r="K19" i="94"/>
  <c r="F85" i="94"/>
  <c r="F19" i="94"/>
  <c r="C19" i="94"/>
  <c r="Q2" i="94" l="1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F85" i="93"/>
  <c r="F19" i="93"/>
  <c r="H19" i="93"/>
  <c r="H85" i="93"/>
  <c r="K19" i="93"/>
  <c r="C19" i="93"/>
  <c r="C85" i="93"/>
  <c r="M85" i="93"/>
  <c r="K85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C85" i="91"/>
  <c r="M85" i="91"/>
  <c r="C85" i="92"/>
  <c r="H19" i="92"/>
  <c r="M19" i="91"/>
  <c r="K85" i="91"/>
  <c r="F85" i="91"/>
  <c r="F19" i="92"/>
  <c r="K85" i="92"/>
  <c r="K19" i="92"/>
  <c r="M85" i="92"/>
  <c r="H85" i="92"/>
  <c r="H85" i="91"/>
  <c r="F85" i="92"/>
  <c r="C19" i="92"/>
  <c r="M19" i="92"/>
  <c r="F19" i="91"/>
  <c r="C19" i="91"/>
  <c r="K19" i="91"/>
  <c r="H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C19" i="90"/>
  <c r="M19" i="90"/>
  <c r="H19" i="90"/>
  <c r="K19" i="90"/>
  <c r="F19" i="90"/>
  <c r="K85" i="90"/>
  <c r="C85" i="90"/>
  <c r="F85" i="90"/>
  <c r="M85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C85" i="89"/>
  <c r="H85" i="89"/>
  <c r="K85" i="89"/>
  <c r="H19" i="89"/>
  <c r="F85" i="89"/>
  <c r="K19" i="89"/>
  <c r="M85" i="89"/>
  <c r="M19" i="89"/>
  <c r="H42" i="51"/>
  <c r="F19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8"/>
  <c r="F19" i="88"/>
  <c r="C19" i="87"/>
  <c r="C85" i="88"/>
  <c r="H19" i="87"/>
  <c r="H85" i="87"/>
  <c r="K85" i="87"/>
  <c r="K85" i="88"/>
  <c r="F85" i="87"/>
  <c r="M19" i="88"/>
  <c r="M19" i="87"/>
  <c r="H85" i="88"/>
  <c r="F19" i="87"/>
  <c r="K19" i="87"/>
  <c r="F85" i="88"/>
  <c r="M85" i="87"/>
  <c r="M85" i="88"/>
  <c r="C85" i="87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H85" i="86"/>
  <c r="M85" i="86"/>
  <c r="K85" i="86"/>
  <c r="K19" i="86"/>
  <c r="F19" i="86"/>
  <c r="H19" i="86"/>
  <c r="C85" i="86"/>
  <c r="C19" i="86"/>
  <c r="M19" i="86"/>
  <c r="F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M22" i="46"/>
  <c r="H22" i="46"/>
  <c r="K22" i="46"/>
  <c r="C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H19" i="85"/>
  <c r="K85" i="85"/>
  <c r="M85" i="85"/>
  <c r="F19" i="85"/>
  <c r="K19" i="85"/>
  <c r="C85" i="85"/>
  <c r="C19" i="85"/>
  <c r="F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4"/>
  <c r="C85" i="84"/>
  <c r="H19" i="84"/>
  <c r="H85" i="84"/>
  <c r="F19" i="83"/>
  <c r="C85" i="83"/>
  <c r="K85" i="84"/>
  <c r="C19" i="83"/>
  <c r="F85" i="83"/>
  <c r="K85" i="83"/>
  <c r="K19" i="83"/>
  <c r="H85" i="83"/>
  <c r="M85" i="84"/>
  <c r="M19" i="83"/>
  <c r="M85" i="83"/>
  <c r="F85" i="84"/>
  <c r="H19" i="83"/>
  <c r="F19" i="84"/>
  <c r="C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9" i="82"/>
  <c r="F19" i="82"/>
  <c r="F85" i="82"/>
  <c r="H18" i="74"/>
  <c r="M19" i="82"/>
  <c r="M85" i="82"/>
  <c r="M18" i="74"/>
  <c r="H85" i="82"/>
  <c r="K85" i="82"/>
  <c r="C85" i="82"/>
  <c r="C19" i="82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F96" i="31"/>
  <c r="H96" i="31"/>
  <c r="H78" i="75"/>
  <c r="K78" i="75"/>
  <c r="M78" i="75"/>
  <c r="C78" i="75"/>
  <c r="F78" i="75"/>
  <c r="C96" i="31"/>
  <c r="M96" i="31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H19" i="64"/>
  <c r="K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F90" i="81"/>
  <c r="M90" i="81"/>
  <c r="H90" i="81"/>
  <c r="K90" i="81"/>
  <c r="C90" i="81"/>
  <c r="F24" i="81"/>
  <c r="H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C19" i="80"/>
  <c r="K85" i="80"/>
  <c r="F85" i="80"/>
  <c r="K19" i="80"/>
  <c r="H85" i="80"/>
  <c r="H19" i="80"/>
  <c r="M19" i="80"/>
  <c r="M85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H65" i="79"/>
  <c r="K65" i="79"/>
  <c r="C19" i="79"/>
  <c r="H19" i="79"/>
  <c r="C65" i="79"/>
  <c r="F65" i="79"/>
  <c r="M65" i="79"/>
  <c r="K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H85" i="78"/>
  <c r="M19" i="78"/>
  <c r="C85" i="78"/>
  <c r="M85" i="78"/>
  <c r="K85" i="78"/>
  <c r="K19" i="78"/>
  <c r="H19" i="78"/>
  <c r="F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C85" i="77"/>
  <c r="K85" i="77"/>
  <c r="M85" i="77"/>
  <c r="H85" i="77"/>
  <c r="F85" i="77"/>
  <c r="M19" i="77"/>
  <c r="H19" i="77"/>
  <c r="F19" i="77"/>
  <c r="C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H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K19" i="76"/>
  <c r="H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M93" i="68"/>
  <c r="H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35" i="25"/>
  <c r="K735" i="25"/>
  <c r="M735" i="25"/>
  <c r="C735" i="25"/>
  <c r="H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55" i="47"/>
  <c r="H55" i="47"/>
  <c r="C5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2" i="47"/>
  <c r="F42" i="47"/>
  <c r="Q19" i="47"/>
  <c r="K41" i="47"/>
  <c r="F41" i="47"/>
  <c r="Q18" i="47"/>
  <c r="K40" i="47"/>
  <c r="F40" i="47"/>
  <c r="K39" i="47"/>
  <c r="F39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M19" i="66"/>
  <c r="H19" i="50"/>
  <c r="F23" i="57"/>
  <c r="F85" i="64"/>
  <c r="M81" i="61"/>
  <c r="M42" i="51"/>
  <c r="F63" i="66"/>
  <c r="C25" i="31"/>
  <c r="F65" i="71"/>
  <c r="C19" i="69"/>
  <c r="H19" i="61"/>
  <c r="C19" i="52"/>
  <c r="K67" i="60"/>
  <c r="M75" i="41"/>
  <c r="M77" i="70"/>
  <c r="K65" i="63"/>
  <c r="F19" i="63"/>
  <c r="F19" i="72"/>
  <c r="F19" i="54"/>
  <c r="C72" i="59"/>
  <c r="M19" i="41"/>
  <c r="H19" i="71"/>
  <c r="F19" i="61"/>
  <c r="F19" i="70"/>
  <c r="F119" i="7"/>
  <c r="C213" i="57"/>
  <c r="H63" i="66"/>
  <c r="H19" i="69"/>
  <c r="K19" i="66"/>
  <c r="K19" i="75"/>
  <c r="K19" i="68"/>
  <c r="F65" i="63"/>
  <c r="K19" i="34"/>
  <c r="K19" i="54"/>
  <c r="M25" i="31"/>
  <c r="H119" i="7"/>
  <c r="H100" i="34"/>
  <c r="K51" i="54"/>
  <c r="C94" i="52"/>
  <c r="F19" i="62"/>
  <c r="M19" i="72"/>
  <c r="K119" i="7"/>
  <c r="M19" i="34"/>
  <c r="K451" i="17"/>
  <c r="H19" i="53"/>
  <c r="H19" i="54"/>
  <c r="C19" i="62"/>
  <c r="C77" i="70"/>
  <c r="F213" i="57"/>
  <c r="F19" i="52"/>
  <c r="M19" i="55"/>
  <c r="C19" i="50"/>
  <c r="C19" i="53"/>
  <c r="F19" i="75"/>
  <c r="H67" i="60"/>
  <c r="M19" i="50"/>
  <c r="C19" i="73"/>
  <c r="F19" i="55"/>
  <c r="M51" i="54"/>
  <c r="C75" i="41"/>
  <c r="H19" i="62"/>
  <c r="C19" i="54"/>
  <c r="M65" i="71"/>
  <c r="M19" i="70"/>
  <c r="H30" i="40"/>
  <c r="H19" i="72"/>
  <c r="H19" i="68"/>
  <c r="K19" i="69"/>
  <c r="K90" i="72"/>
  <c r="H19" i="3"/>
  <c r="F81" i="61"/>
  <c r="H94" i="52"/>
  <c r="C19" i="55"/>
  <c r="K19" i="41"/>
  <c r="F19" i="50"/>
  <c r="F90" i="72"/>
  <c r="M119" i="7"/>
  <c r="F19" i="69"/>
  <c r="C86" i="53"/>
  <c r="H19" i="52"/>
  <c r="C100" i="34"/>
  <c r="C19" i="72"/>
  <c r="M19" i="75"/>
  <c r="K19" i="59"/>
  <c r="F19" i="53"/>
  <c r="C19" i="68"/>
  <c r="H81" i="61"/>
  <c r="M19" i="61"/>
  <c r="F19" i="34"/>
  <c r="C23" i="57"/>
  <c r="C451" i="17"/>
  <c r="H23" i="17"/>
  <c r="C19" i="59"/>
  <c r="K65" i="71"/>
  <c r="H25" i="31"/>
  <c r="K77" i="70"/>
  <c r="M19" i="73"/>
  <c r="M19" i="71"/>
  <c r="M19" i="63"/>
  <c r="K19" i="71"/>
  <c r="C51" i="54"/>
  <c r="K86" i="53"/>
  <c r="H77" i="70"/>
  <c r="F19" i="60"/>
  <c r="M86" i="53"/>
  <c r="M19" i="69"/>
  <c r="K100" i="34"/>
  <c r="H19" i="73"/>
  <c r="M19" i="53"/>
  <c r="M19" i="52"/>
  <c r="K213" i="57"/>
  <c r="M19" i="59"/>
  <c r="C63" i="66"/>
  <c r="F72" i="59"/>
  <c r="H19" i="60"/>
  <c r="K19" i="60"/>
  <c r="F86" i="53"/>
  <c r="C65" i="71"/>
  <c r="K55" i="50"/>
  <c r="F19" i="64"/>
  <c r="C19" i="41"/>
  <c r="K19" i="62"/>
  <c r="M19" i="60"/>
  <c r="C19" i="75"/>
  <c r="C19" i="3"/>
  <c r="H65" i="63"/>
  <c r="F51" i="54"/>
  <c r="F19" i="59"/>
  <c r="C90" i="72"/>
  <c r="H19" i="59"/>
  <c r="K75" i="41"/>
  <c r="M30" i="40"/>
  <c r="K19" i="52"/>
  <c r="H19" i="75"/>
  <c r="F77" i="70"/>
  <c r="C55" i="50"/>
  <c r="C67" i="60"/>
  <c r="C19" i="34"/>
  <c r="C19" i="60"/>
  <c r="C23" i="17"/>
  <c r="M23" i="17"/>
  <c r="K19" i="73"/>
  <c r="M23" i="57"/>
  <c r="K19" i="72"/>
  <c r="H55" i="50"/>
  <c r="F25" i="31"/>
  <c r="K63" i="66"/>
  <c r="F55" i="50"/>
  <c r="K19" i="63"/>
  <c r="K19" i="61"/>
  <c r="F75" i="41"/>
  <c r="H65" i="71"/>
  <c r="C19" i="61"/>
  <c r="F67" i="60"/>
  <c r="F30" i="40"/>
  <c r="H19" i="41"/>
  <c r="F22" i="43"/>
  <c r="M65" i="63"/>
  <c r="F19" i="41"/>
  <c r="H86" i="53"/>
  <c r="C19" i="71"/>
  <c r="F19" i="73"/>
  <c r="H19" i="34"/>
  <c r="M90" i="72"/>
  <c r="M19" i="62"/>
  <c r="K25" i="31"/>
  <c r="C19" i="66"/>
  <c r="C81" i="61"/>
  <c r="H19" i="70"/>
  <c r="C19" i="64"/>
  <c r="M451" i="17"/>
  <c r="M19" i="68"/>
  <c r="F19" i="71"/>
  <c r="C85" i="64"/>
  <c r="M55" i="50"/>
  <c r="F19" i="66"/>
  <c r="F451" i="17"/>
  <c r="F23" i="17"/>
  <c r="H51" i="54"/>
  <c r="C19" i="63"/>
  <c r="M72" i="59"/>
  <c r="M213" i="57"/>
  <c r="H72" i="59"/>
  <c r="K81" i="61"/>
  <c r="H451" i="17"/>
  <c r="H19" i="66"/>
  <c r="K94" i="52"/>
  <c r="H19" i="55"/>
  <c r="K19" i="3"/>
  <c r="C19" i="70"/>
  <c r="C119" i="7"/>
  <c r="F19" i="68"/>
  <c r="C65" i="63"/>
  <c r="C30" i="40"/>
  <c r="M19" i="3"/>
  <c r="H19" i="63"/>
  <c r="H213" i="57"/>
  <c r="H90" i="72"/>
  <c r="M94" i="52"/>
  <c r="K72" i="59"/>
  <c r="M100" i="34"/>
  <c r="M19" i="54"/>
  <c r="H75" i="41"/>
  <c r="K23" i="17"/>
  <c r="F19" i="3"/>
  <c r="M63" i="66"/>
  <c r="K19" i="70"/>
  <c r="M67" i="60"/>
  <c r="K18" i="74"/>
  <c r="K23" i="57"/>
  <c r="K19" i="55"/>
  <c r="F94" i="52"/>
  <c r="K19" i="53"/>
  <c r="K19" i="50"/>
  <c r="K30" i="40"/>
  <c r="H162" i="58"/>
  <c r="F162" i="58"/>
  <c r="M162" i="58"/>
  <c r="C162" i="58"/>
  <c r="K162" i="58"/>
  <c r="M33" i="58"/>
  <c r="K156" i="49"/>
  <c r="H156" i="49"/>
  <c r="C156" i="49"/>
  <c r="K30" i="49"/>
  <c r="M30" i="49"/>
  <c r="H30" i="49"/>
  <c r="F156" i="49"/>
  <c r="F30" i="49"/>
  <c r="M156" i="49"/>
  <c r="C30" i="49"/>
  <c r="K42" i="51"/>
  <c r="F82" i="25"/>
  <c r="C82" i="25"/>
  <c r="K33" i="58"/>
  <c r="H33" i="58"/>
  <c r="F33" i="58"/>
  <c r="C33" i="58"/>
  <c r="F18" i="74"/>
  <c r="F42" i="51"/>
  <c r="H82" i="25"/>
  <c r="K19" i="45"/>
  <c r="M19" i="45"/>
  <c r="K92" i="45"/>
  <c r="H19" i="45"/>
  <c r="H92" i="45"/>
  <c r="C92" i="45"/>
  <c r="M92" i="45"/>
  <c r="F92" i="45"/>
  <c r="F19" i="45"/>
  <c r="C19" i="45"/>
  <c r="V620" i="38" l="1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W619" i="38" l="1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2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19" i="38" l="1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<sst xmlns="http://schemas.openxmlformats.org/spreadsheetml/2006/main" count="7458" uniqueCount="1040">
  <si>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</si>
  <si>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</si>
  <si>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</si>
  <si>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</si>
  <si>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</si>
  <si>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</si>
  <si>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</si>
  <si>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</si>
  <si>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</si>
  <si>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</si>
  <si>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</si>
  <si>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</si>
  <si>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</si>
  <si>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</si>
  <si>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</si>
  <si>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</si>
  <si>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</si>
  <si>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</si>
  <si>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</si>
  <si>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</si>
  <si>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</si>
  <si>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</si>
  <si>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</si>
  <si>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</si>
  <si>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</si>
  <si>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</si>
  <si>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</si>
  <si>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</si>
  <si>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</si>
  <si>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</si>
  <si>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</si>
  <si>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</si>
  <si>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</si>
  <si>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</si>
  <si>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</si>
  <si>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</si>
  <si>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</si>
  <si>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</si>
  <si>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</si>
  <si>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</si>
  <si>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</si>
  <si>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</si>
  <si>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</si>
  <si>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</si>
  <si>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</si>
  <si>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</si>
  <si>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</si>
  <si>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</si>
  <si>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</si>
  <si>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</si>
  <si>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</si>
  <si>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</si>
  <si>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</si>
  <si>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</si>
  <si>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</si>
  <si>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</si>
  <si>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</si>
  <si>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</si>
  <si>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</si>
  <si>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</si>
  <si>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</si>
  <si>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</si>
  <si>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</si>
  <si>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</si>
  <si>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</si>
  <si>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</si>
  <si>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</si>
  <si>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</si>
  <si>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</si>
  <si>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</si>
  <si>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</si>
  <si>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</si>
  <si>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</si>
  <si>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</si>
  <si>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</si>
  <si>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</si>
  <si>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</si>
  <si>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</si>
  <si>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</si>
  <si>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</si>
  <si>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</si>
  <si>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</si>
  <si>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</si>
  <si>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</si>
  <si>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</si>
  <si>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</si>
  <si>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</si>
  <si>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</si>
  <si>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</si>
  <si>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</si>
  <si>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</si>
  <si>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</si>
  <si>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</si>
  <si>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</si>
  <si>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</si>
  <si>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</si>
  <si>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</si>
  <si>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</si>
  <si>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</si>
  <si>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</si>
  <si>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</si>
  <si>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</si>
  <si>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</si>
  <si>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</si>
  <si>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</si>
  <si>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</si>
  <si>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</si>
  <si>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</si>
  <si>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</si>
  <si>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</si>
  <si>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</si>
  <si>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</si>
  <si>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</si>
  <si>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</si>
  <si>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</si>
  <si>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</si>
  <si>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</si>
  <si>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</si>
  <si>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</si>
  <si>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</si>
  <si>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</si>
  <si>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</si>
  <si>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</si>
  <si>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</si>
  <si>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</si>
  <si>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</si>
  <si>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</si>
  <si>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</si>
  <si>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</si>
  <si>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</si>
  <si>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</si>
  <si>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</si>
  <si>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</si>
  <si>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</si>
  <si>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</si>
  <si>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</si>
  <si>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</si>
  <si>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</si>
  <si>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</si>
  <si>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</si>
  <si>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</si>
  <si>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</si>
  <si>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</si>
  <si>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</si>
  <si>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</si>
  <si>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</si>
  <si>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</si>
  <si>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</si>
  <si>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</si>
  <si>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</si>
  <si>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</si>
  <si>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</si>
  <si>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</si>
  <si>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</si>
  <si>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</si>
  <si>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</si>
  <si>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</si>
  <si>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</si>
  <si>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</si>
  <si>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</si>
  <si>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</si>
  <si>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</si>
  <si>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</si>
  <si>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</si>
  <si>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</si>
  <si>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</si>
  <si>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</si>
  <si>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</si>
  <si>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</si>
  <si>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</si>
  <si>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</si>
  <si>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</si>
  <si>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</si>
  <si>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</si>
  <si>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</si>
  <si>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</si>
  <si>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</si>
  <si>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</si>
  <si>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</si>
  <si>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</si>
  <si>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</si>
  <si>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</si>
  <si>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</si>
  <si>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</si>
  <si>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</si>
  <si>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</si>
  <si>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</si>
  <si>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</si>
  <si>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</si>
  <si>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</si>
  <si>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</si>
  <si>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</si>
  <si>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</si>
  <si>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</si>
  <si>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</si>
  <si>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</si>
  <si>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</si>
  <si>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</si>
  <si>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</si>
  <si>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</si>
  <si>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</si>
  <si>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</si>
  <si>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</si>
  <si>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</si>
  <si>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</si>
  <si>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</si>
  <si>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</si>
  <si>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</si>
  <si>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</si>
  <si>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</si>
  <si>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</si>
  <si>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</si>
  <si>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</si>
  <si>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</si>
  <si>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</si>
  <si>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</si>
  <si>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</si>
  <si>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</si>
  <si>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</si>
  <si>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</si>
  <si>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</si>
  <si>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</si>
  <si>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</si>
  <si>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</si>
  <si>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</si>
  <si>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</si>
  <si>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</si>
  <si>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</si>
  <si>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</si>
  <si>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</si>
  <si>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</si>
  <si>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</si>
  <si>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</si>
  <si>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</si>
  <si>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</si>
  <si>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</si>
  <si>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</si>
  <si>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</si>
  <si>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</si>
  <si>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</si>
  <si>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</si>
  <si>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</si>
  <si>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</si>
  <si>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</si>
  <si>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</si>
  <si>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</si>
  <si>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</si>
  <si>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</si>
  <si>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</si>
  <si>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</si>
  <si>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</si>
  <si>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</si>
  <si>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</si>
  <si>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</si>
  <si>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</si>
  <si>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</si>
  <si>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</si>
  <si>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</si>
  <si>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</si>
  <si>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</si>
  <si>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</si>
  <si>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</si>
  <si>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</si>
  <si>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</si>
  <si>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</si>
  <si>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</si>
  <si>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</si>
  <si>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</si>
  <si>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</si>
  <si>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</si>
  <si>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</si>
  <si>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</si>
  <si>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</si>
  <si>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</si>
  <si>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</si>
  <si>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</si>
  <si>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</si>
  <si>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</si>
  <si>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</si>
  <si>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</si>
  <si>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</si>
  <si>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</si>
  <si>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</si>
  <si>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</si>
  <si>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</si>
  <si>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</si>
  <si>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</si>
  <si>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</si>
  <si>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</si>
  <si>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</si>
  <si>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</si>
  <si>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</si>
  <si>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</si>
  <si>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</si>
  <si>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</si>
  <si>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</si>
  <si>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</si>
  <si>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</si>
  <si>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</si>
  <si>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</si>
  <si>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</si>
  <si>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</si>
  <si>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</si>
  <si>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</si>
  <si>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</si>
  <si>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</si>
  <si>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</si>
  <si>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</si>
  <si>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</si>
  <si>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</si>
  <si>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</si>
  <si>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</si>
  <si>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</si>
  <si>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</si>
  <si>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</si>
  <si>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</si>
  <si>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</si>
  <si>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</si>
  <si>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</si>
  <si>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</si>
  <si>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</si>
  <si>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</si>
  <si>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</si>
  <si>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</si>
  <si>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</si>
  <si>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</si>
  <si>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</si>
  <si>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</si>
  <si>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</si>
  <si>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</si>
  <si>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</si>
  <si>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</si>
  <si>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</si>
  <si>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</si>
  <si>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</si>
  <si>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</si>
  <si>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</si>
  <si>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</si>
  <si>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</si>
  <si>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</si>
  <si>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</si>
  <si>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</si>
  <si>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</si>
  <si>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</si>
  <si>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</si>
  <si>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</si>
  <si>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</si>
  <si>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</si>
  <si>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</si>
  <si>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</si>
  <si>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</si>
  <si>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</si>
  <si>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</si>
  <si>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</si>
  <si>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</si>
  <si>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</si>
  <si>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</si>
  <si>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</si>
  <si>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</si>
  <si>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</si>
  <si>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</si>
  <si>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</si>
  <si>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</si>
  <si>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</si>
  <si>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</si>
  <si>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</si>
  <si>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</si>
  <si>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</si>
  <si>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</si>
  <si>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</si>
  <si>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</si>
  <si>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</si>
  <si>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</si>
  <si>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</si>
  <si>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</si>
  <si>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</si>
  <si>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</si>
  <si>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</si>
  <si>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</si>
  <si>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</si>
  <si>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</si>
  <si>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</si>
  <si>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</si>
  <si>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</si>
  <si>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</si>
  <si>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</si>
  <si>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</si>
  <si>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</si>
  <si>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</si>
  <si>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</si>
  <si>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</si>
  <si>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</si>
  <si>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</si>
  <si>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</si>
  <si>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</si>
  <si>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</si>
  <si>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</si>
  <si>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</si>
  <si>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</si>
  <si>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</si>
  <si>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</si>
  <si>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</si>
  <si>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</si>
  <si>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</si>
  <si>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</si>
  <si>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</si>
  <si>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</si>
  <si>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</si>
  <si>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</si>
  <si>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</si>
  <si>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</si>
  <si>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</si>
  <si>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</si>
  <si>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</si>
  <si>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</si>
  <si>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</si>
  <si>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</si>
  <si>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</si>
  <si>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</si>
  <si>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</si>
  <si>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</si>
  <si>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</si>
  <si>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</si>
  <si>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</si>
  <si>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</si>
  <si>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</si>
  <si>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</si>
  <si>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</si>
  <si>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</si>
  <si>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</si>
  <si>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</si>
  <si>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</si>
  <si>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</si>
  <si>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</si>
  <si>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</si>
  <si>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</si>
  <si>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</si>
  <si>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</si>
  <si>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</si>
  <si>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</si>
  <si>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</si>
  <si>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</si>
  <si>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</si>
  <si>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</si>
  <si>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</si>
  <si>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</si>
  <si>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</si>
  <si>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</si>
  <si>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</si>
  <si>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</si>
  <si>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</si>
  <si>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</si>
  <si>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</si>
  <si>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</si>
  <si>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</si>
  <si>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</si>
  <si>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</si>
  <si>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</si>
  <si>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</si>
  <si>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</si>
  <si>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</si>
  <si>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</si>
  <si>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</si>
  <si>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</si>
  <si>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</si>
  <si>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</si>
  <si>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</si>
  <si>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</si>
  <si>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</si>
  <si>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</si>
  <si>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</si>
  <si>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</si>
  <si>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</si>
  <si>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</si>
  <si>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</si>
  <si>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</si>
  <si>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</si>
  <si>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</si>
  <si>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</si>
  <si>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</si>
  <si>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</si>
  <si>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</si>
  <si>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</si>
  <si>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</si>
  <si>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</si>
  <si>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</si>
  <si>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</si>
  <si>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</si>
  <si>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</si>
  <si>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</si>
  <si>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</si>
  <si>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</si>
  <si>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</si>
  <si>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</si>
  <si>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</si>
  <si>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</si>
  <si>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</si>
  <si>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</si>
  <si>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</si>
  <si>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</si>
  <si>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</si>
  <si>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</si>
  <si>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</si>
  <si>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</si>
  <si>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</si>
  <si>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</si>
  <si>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</si>
  <si>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</si>
  <si>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</si>
  <si>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</si>
  <si>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</si>
  <si>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</si>
  <si>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</si>
  <si>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</si>
  <si>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</si>
  <si>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</si>
  <si>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</si>
  <si>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</si>
  <si>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</si>
  <si>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</si>
  <si>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</si>
  <si>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</si>
  <si>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</si>
  <si>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</si>
  <si>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</si>
  <si>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</si>
  <si>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</si>
  <si>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</si>
  <si>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</si>
  <si>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</si>
  <si>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</si>
  <si>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</si>
  <si>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</si>
  <si>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</si>
  <si>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</si>
  <si>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</si>
  <si>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</si>
  <si>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</si>
  <si>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</si>
  <si>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</si>
  <si>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</si>
  <si>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</si>
  <si>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</si>
  <si>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</si>
  <si>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</si>
  <si>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</si>
  <si>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</si>
  <si>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</si>
  <si>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</si>
  <si>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</si>
  <si>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</si>
  <si>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</si>
  <si>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</si>
  <si>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</si>
  <si>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</si>
  <si>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</si>
  <si>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</si>
  <si>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</si>
  <si>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</si>
  <si>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</si>
  <si>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</si>
  <si>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</si>
  <si>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</si>
  <si>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</si>
  <si>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</si>
  <si>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</si>
  <si>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</si>
  <si>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</si>
  <si>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</si>
  <si>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</si>
  <si>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</si>
  <si>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</si>
  <si>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</si>
  <si>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</si>
  <si>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</si>
  <si>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</si>
  <si>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</si>
  <si>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</si>
  <si>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</si>
  <si>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</si>
  <si>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</si>
  <si>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</si>
  <si>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</si>
  <si>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</si>
  <si>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</si>
  <si>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</si>
  <si>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</si>
  <si>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</si>
  <si>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</si>
  <si>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</si>
  <si>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</si>
  <si>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</si>
  <si>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</si>
  <si>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</si>
  <si>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</si>
  <si>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</si>
  <si>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</si>
  <si>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</si>
  <si>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</si>
  <si>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</si>
  <si>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</si>
  <si>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</si>
  <si>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</si>
  <si>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</si>
  <si>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</si>
  <si>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</si>
  <si>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</si>
  <si>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</si>
  <si>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</si>
  <si>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</si>
  <si>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</si>
  <si>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</si>
  <si>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</si>
  <si>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</si>
  <si>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</si>
  <si>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</si>
  <si>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</si>
  <si>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</si>
  <si>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</si>
  <si>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</si>
  <si>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</si>
  <si>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</si>
  <si>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</si>
  <si>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</si>
  <si>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</si>
  <si>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</si>
  <si>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</si>
  <si>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</si>
  <si>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</si>
  <si>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</si>
  <si>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</si>
  <si>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</si>
  <si>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</si>
  <si>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</si>
  <si>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</si>
  <si>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</si>
  <si>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</si>
  <si>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</si>
  <si>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</si>
  <si>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</si>
  <si>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</si>
  <si>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</si>
  <si>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</si>
  <si>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</si>
  <si>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</si>
  <si>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</si>
  <si>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</si>
  <si>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</si>
  <si>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</si>
  <si>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</si>
  <si>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</si>
  <si>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</si>
  <si>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</si>
  <si>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</si>
  <si>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</si>
  <si>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</si>
  <si>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</si>
  <si>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</si>
  <si>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</si>
  <si>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</si>
  <si>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</si>
  <si>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</si>
  <si>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</si>
  <si>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</si>
  <si>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</si>
  <si>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</si>
  <si>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</si>
  <si>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</si>
  <si>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</si>
  <si>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</si>
  <si>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</si>
  <si>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</si>
  <si>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</si>
  <si>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</si>
  <si>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</si>
  <si>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</si>
  <si>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</si>
  <si>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</si>
  <si>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</si>
  <si>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</si>
  <si>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</si>
  <si>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</si>
  <si>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</si>
  <si>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</si>
  <si>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</si>
  <si>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</si>
  <si>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</si>
  <si>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</si>
  <si>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</si>
  <si>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</si>
  <si>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</si>
  <si>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</si>
  <si>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</si>
  <si>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</si>
  <si>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</si>
  <si>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</si>
  <si>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</si>
  <si>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</si>
  <si>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</si>
  <si>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</si>
  <si>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</si>
  <si>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</si>
  <si>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</si>
  <si>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</si>
  <si>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</si>
  <si>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</si>
  <si>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</si>
  <si>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</si>
  <si>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</si>
  <si>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</si>
  <si>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</si>
  <si>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</si>
  <si>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</si>
  <si>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</si>
  <si>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</si>
  <si>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</si>
  <si>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</si>
  <si>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</si>
  <si>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</si>
  <si>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</si>
  <si>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</si>
  <si>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</si>
  <si>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</si>
  <si>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</si>
  <si>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</si>
  <si>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</si>
  <si>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</si>
  <si>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</si>
  <si>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</si>
  <si>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</si>
  <si>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</si>
  <si>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</si>
  <si>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</si>
  <si>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</si>
  <si>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</si>
  <si>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</si>
  <si>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</si>
  <si>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</si>
  <si>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</si>
  <si>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</si>
  <si>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</si>
  <si>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</si>
  <si>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</si>
  <si>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</si>
  <si>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</si>
  <si>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</si>
  <si>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</si>
  <si>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</si>
  <si>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</si>
  <si>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</si>
  <si>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</si>
  <si>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</si>
  <si>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</si>
  <si>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</si>
  <si>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</si>
  <si>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</si>
  <si>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</si>
  <si>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</si>
  <si>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</si>
  <si>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</si>
  <si>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</si>
  <si>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</si>
  <si>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</si>
  <si>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</si>
  <si>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</si>
  <si>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</si>
  <si>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</si>
  <si>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</si>
  <si>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</si>
  <si>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</si>
  <si>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</si>
  <si>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</si>
  <si>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</si>
  <si>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</si>
  <si>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</si>
  <si>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</si>
  <si>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</si>
  <si>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</si>
  <si>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</si>
  <si>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</si>
  <si>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</si>
  <si>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</si>
  <si>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</si>
  <si>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</si>
  <si>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</si>
  <si>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</si>
  <si>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</si>
  <si>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</si>
  <si>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</si>
  <si>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</si>
  <si>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</si>
  <si>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</si>
  <si>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</si>
  <si>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</si>
  <si>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</si>
  <si>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</si>
  <si>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</si>
  <si>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</si>
  <si>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</si>
  <si>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</si>
  <si>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</si>
  <si>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</si>
  <si>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</si>
  <si>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</si>
  <si>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</si>
  <si>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</si>
  <si>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</si>
  <si>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</si>
  <si>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</si>
  <si>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</si>
  <si>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</si>
  <si>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</si>
  <si>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</si>
  <si>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</si>
  <si>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</si>
  <si>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</si>
  <si>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</si>
  <si>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</si>
  <si>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</si>
  <si>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</si>
  <si>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</si>
  <si>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</si>
  <si>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</si>
  <si>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</si>
  <si>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</si>
  <si>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</si>
  <si>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</si>
  <si>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</si>
  <si>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</si>
  <si>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</si>
  <si>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</si>
  <si>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</si>
  <si>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</si>
  <si>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</si>
  <si>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</si>
  <si>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</si>
  <si>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</si>
  <si>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</si>
  <si>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</si>
  <si>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</si>
  <si>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</si>
  <si>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</si>
  <si>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</si>
  <si>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</si>
  <si>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</si>
  <si>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</si>
  <si>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</si>
  <si>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</si>
  <si>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</si>
  <si>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</si>
  <si>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</si>
  <si>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</si>
  <si>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</si>
  <si>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</si>
  <si>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</si>
  <si>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</si>
  <si>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</si>
  <si>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</si>
  <si>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</si>
  <si>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</si>
  <si>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</si>
  <si>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</si>
  <si>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</si>
  <si>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</si>
  <si>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</si>
  <si>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</si>
  <si>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</si>
  <si>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</si>
  <si>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</si>
  <si>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</si>
  <si>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</si>
  <si>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</si>
  <si>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</si>
  <si>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</si>
  <si>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</si>
  <si>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</si>
  <si>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</si>
  <si>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</si>
  <si>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</si>
  <si>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</si>
  <si>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</si>
  <si>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</si>
  <si>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</si>
  <si>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</si>
  <si>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</si>
  <si>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</si>
  <si>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</si>
  <si>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</si>
  <si>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</si>
  <si>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</si>
  <si>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</si>
  <si>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</si>
  <si>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</si>
  <si>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</si>
  <si>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</si>
  <si>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</si>
  <si>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</si>
  <si>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</si>
  <si>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</si>
  <si>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</si>
  <si>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</si>
  <si>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</si>
  <si>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</si>
  <si>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</si>
  <si>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</si>
  <si>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</si>
  <si>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</si>
  <si>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</si>
  <si>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</si>
  <si>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</si>
  <si>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</si>
  <si>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</si>
  <si>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</si>
  <si>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</si>
  <si>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</si>
  <si>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</si>
  <si>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</si>
  <si>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</si>
  <si>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</si>
  <si>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</si>
  <si>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</si>
  <si>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</si>
  <si>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</si>
  <si>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</si>
  <si>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</si>
  <si>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</si>
  <si>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</si>
  <si>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</si>
  <si>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</si>
  <si>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</si>
  <si>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</si>
  <si>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</si>
  <si>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</si>
  <si>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</si>
  <si>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</si>
  <si>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</si>
  <si>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</si>
  <si>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</si>
  <si>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</si>
  <si>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</si>
  <si>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</si>
  <si>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</si>
  <si>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</si>
  <si>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</si>
  <si>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</si>
  <si>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</si>
  <si>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</si>
  <si>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</si>
  <si>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</si>
  <si>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</si>
  <si>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</si>
  <si>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</si>
  <si>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</si>
  <si>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</si>
  <si>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</si>
  <si>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</si>
  <si>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</si>
  <si>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</si>
  <si>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</si>
  <si>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</si>
  <si>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</si>
  <si>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</si>
  <si>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</si>
  <si>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</si>
  <si>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</si>
  <si>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</si>
  <si>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</si>
  <si>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</si>
  <si>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</si>
  <si>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</si>
  <si>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</si>
  <si>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</si>
  <si>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</si>
  <si>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</si>
  <si>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</si>
  <si>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</si>
  <si>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</si>
  <si>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</si>
  <si>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</si>
  <si>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</si>
  <si>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</si>
  <si>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</si>
  <si>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</si>
  <si>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</si>
  <si>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</si>
  <si>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</si>
  <si>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</si>
  <si>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</si>
  <si>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</si>
  <si>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</si>
  <si>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</si>
  <si>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</si>
  <si>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</si>
  <si>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</si>
  <si>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</si>
  <si>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</si>
  <si>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</si>
  <si>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</si>
  <si>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</si>
  <si>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</si>
  <si>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</si>
  <si>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Fwd ER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</si>
  <si>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</si>
  <si>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</si>
  <si>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</si>
  <si>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</si>
  <si>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</si>
  <si>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</si>
  <si>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</si>
  <si>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</si>
  <si>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</si>
  <si>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</si>
  <si>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</si>
  <si>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</si>
  <si>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</si>
  <si>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</si>
  <si>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</si>
  <si>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</si>
  <si>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</si>
  <si>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</si>
  <si>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</si>
  <si>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</si>
  <si>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4/25/2018 PM</t>
  </si>
  <si>
    <t>5/8/2018 est</t>
  </si>
  <si>
    <t>5/1/2018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</si>
  <si>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</si>
  <si>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</si>
  <si>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</si>
  <si>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</si>
  <si>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</si>
  <si>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</si>
  <si>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</si>
  <si>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4/20/2018 PM</t>
  </si>
  <si>
    <t>4/23/2018 PM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</si>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</sst>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68" fontId="0" fillId="0" borderId="0" xfId="0" applyNumberFormat="1" applyFont="1" applyFill="1" applyAlignment="1">
      <alignment wrapText="1"/>
    </xf>
    <xf numFmtId="171" fontId="0" fillId="0" borderId="0" xfId="0" applyNumberFormat="1" applyFont="1" applyFill="1" applyAlignment="1">
      <alignment wrapText="1"/>
    </xf>
    <xf numFmtId="1" fontId="0" fillId="0" borderId="0" xfId="0" applyNumberFormat="1" applyFont="1" applyFill="1"/>
    <xf numFmtId="2" fontId="0" fillId="1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35"/>
      <tableStyleElement type="headerRow" dxfId="2734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46096"/>
        <c:axId val="200621136"/>
      </c:scatterChart>
      <c:valAx>
        <c:axId val="20074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21136"/>
        <c:crosses val="autoZero"/>
        <c:crossBetween val="midCat"/>
      </c:valAx>
      <c:valAx>
        <c:axId val="20062113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46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63136"/>
        <c:axId val="440302040"/>
      </c:scatterChart>
      <c:valAx>
        <c:axId val="199563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302040"/>
        <c:crosses val="autoZero"/>
        <c:crossBetween val="midCat"/>
      </c:valAx>
      <c:valAx>
        <c:axId val="44030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6313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494064"/>
        <c:axId val="439125608"/>
      </c:scatterChart>
      <c:valAx>
        <c:axId val="429494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125608"/>
        <c:crosses val="autoZero"/>
        <c:crossBetween val="midCat"/>
      </c:valAx>
      <c:valAx>
        <c:axId val="4391256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94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12672"/>
        <c:axId val="7285736"/>
      </c:scatterChart>
      <c:valAx>
        <c:axId val="450012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5736"/>
        <c:crosses val="autoZero"/>
        <c:crossBetween val="midCat"/>
      </c:valAx>
      <c:valAx>
        <c:axId val="728573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12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990792"/>
        <c:axId val="449991184"/>
      </c:scatterChart>
      <c:valAx>
        <c:axId val="449990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91184"/>
        <c:crosses val="autoZero"/>
        <c:crossBetween val="midCat"/>
      </c:valAx>
      <c:valAx>
        <c:axId val="44999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90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992360"/>
        <c:axId val="449992752"/>
      </c:scatterChart>
      <c:valAx>
        <c:axId val="449992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92752"/>
        <c:crosses val="autoZero"/>
        <c:crossBetween val="midCat"/>
      </c:valAx>
      <c:valAx>
        <c:axId val="44999275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92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993536"/>
        <c:axId val="450275776"/>
      </c:scatterChart>
      <c:valAx>
        <c:axId val="44999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75776"/>
        <c:crosses val="autoZero"/>
        <c:crossBetween val="midCat"/>
      </c:valAx>
      <c:valAx>
        <c:axId val="4502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935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991968"/>
        <c:axId val="449990400"/>
      </c:scatterChart>
      <c:valAx>
        <c:axId val="449991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90400"/>
        <c:crosses val="autoZero"/>
        <c:crossBetween val="midCat"/>
      </c:valAx>
      <c:valAx>
        <c:axId val="44999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91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278912"/>
        <c:axId val="450279304"/>
      </c:lineChart>
      <c:dateAx>
        <c:axId val="45027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79304"/>
        <c:crosses val="autoZero"/>
        <c:auto val="1"/>
        <c:lblOffset val="100"/>
        <c:baseTimeUnit val="days"/>
      </c:dateAx>
      <c:valAx>
        <c:axId val="4502793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7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672880"/>
        <c:axId val="450673272"/>
      </c:lineChart>
      <c:dateAx>
        <c:axId val="45067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73272"/>
        <c:crosses val="autoZero"/>
        <c:auto val="1"/>
        <c:lblOffset val="100"/>
        <c:baseTimeUnit val="days"/>
      </c:dateAx>
      <c:valAx>
        <c:axId val="45067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7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231496"/>
        <c:axId val="451231888"/>
      </c:lineChart>
      <c:dateAx>
        <c:axId val="45123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31888"/>
        <c:crosses val="autoZero"/>
        <c:auto val="1"/>
        <c:lblOffset val="100"/>
        <c:baseTimeUnit val="days"/>
      </c:dateAx>
      <c:valAx>
        <c:axId val="4512318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3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233848"/>
        <c:axId val="452792256"/>
      </c:lineChart>
      <c:dateAx>
        <c:axId val="451233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92256"/>
        <c:crosses val="autoZero"/>
        <c:auto val="1"/>
        <c:lblOffset val="100"/>
        <c:baseTimeUnit val="days"/>
      </c:dateAx>
      <c:valAx>
        <c:axId val="4527922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3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794216"/>
        <c:axId val="452794608"/>
      </c:lineChart>
      <c:dateAx>
        <c:axId val="452794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94608"/>
        <c:crosses val="autoZero"/>
        <c:auto val="1"/>
        <c:lblOffset val="100"/>
        <c:baseTimeUnit val="days"/>
      </c:dateAx>
      <c:valAx>
        <c:axId val="4527946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9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313264"/>
        <c:axId val="452313656"/>
      </c:lineChart>
      <c:dateAx>
        <c:axId val="452313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13656"/>
        <c:crosses val="autoZero"/>
        <c:auto val="1"/>
        <c:lblOffset val="100"/>
        <c:baseTimeUnit val="days"/>
      </c:dateAx>
      <c:valAx>
        <c:axId val="4523136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1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316008"/>
        <c:axId val="452316400"/>
      </c:lineChart>
      <c:catAx>
        <c:axId val="452316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16400"/>
        <c:crosses val="autoZero"/>
        <c:auto val="1"/>
        <c:lblAlgn val="ctr"/>
        <c:lblOffset val="100"/>
        <c:noMultiLvlLbl val="0"/>
      </c:catAx>
      <c:valAx>
        <c:axId val="4523164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1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335656"/>
        <c:axId val="454336048"/>
      </c:lineChart>
      <c:dateAx>
        <c:axId val="45433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36048"/>
        <c:crosses val="autoZero"/>
        <c:auto val="1"/>
        <c:lblOffset val="100"/>
        <c:baseTimeUnit val="days"/>
      </c:dateAx>
      <c:valAx>
        <c:axId val="4543360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3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87704"/>
        <c:axId val="478288096"/>
      </c:lineChart>
      <c:dateAx>
        <c:axId val="47828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8096"/>
        <c:crosses val="autoZero"/>
        <c:auto val="1"/>
        <c:lblOffset val="100"/>
        <c:baseTimeUnit val="days"/>
      </c:dateAx>
      <c:valAx>
        <c:axId val="4782880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8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80584"/>
        <c:axId val="466080976"/>
      </c:lineChart>
      <c:catAx>
        <c:axId val="466080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80976"/>
        <c:crosses val="autoZero"/>
        <c:auto val="1"/>
        <c:lblAlgn val="ctr"/>
        <c:lblOffset val="100"/>
        <c:noMultiLvlLbl val="0"/>
      </c:catAx>
      <c:valAx>
        <c:axId val="466080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8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82248"/>
        <c:axId val="488782640"/>
      </c:lineChart>
      <c:catAx>
        <c:axId val="488782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82640"/>
        <c:crosses val="autoZero"/>
        <c:auto val="1"/>
        <c:lblAlgn val="ctr"/>
        <c:lblOffset val="100"/>
        <c:noMultiLvlLbl val="0"/>
      </c:catAx>
      <c:valAx>
        <c:axId val="4887826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8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84600"/>
        <c:axId val="488784992"/>
      </c:lineChart>
      <c:dateAx>
        <c:axId val="48878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84992"/>
        <c:crosses val="autoZero"/>
        <c:auto val="1"/>
        <c:lblOffset val="100"/>
        <c:baseTimeUnit val="days"/>
      </c:dateAx>
      <c:valAx>
        <c:axId val="4887849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8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372032"/>
        <c:axId val="479372424"/>
      </c:lineChart>
      <c:dateAx>
        <c:axId val="479372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72424"/>
        <c:crosses val="autoZero"/>
        <c:auto val="1"/>
        <c:lblOffset val="100"/>
        <c:baseTimeUnit val="days"/>
      </c:dateAx>
      <c:valAx>
        <c:axId val="4793724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7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30352"/>
        <c:axId val="490330744"/>
      </c:lineChart>
      <c:dateAx>
        <c:axId val="490330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30744"/>
        <c:crosses val="autoZero"/>
        <c:auto val="1"/>
        <c:lblOffset val="100"/>
        <c:baseTimeUnit val="days"/>
      </c:dateAx>
      <c:valAx>
        <c:axId val="4903307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3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33880"/>
        <c:axId val="490453048"/>
      </c:lineChart>
      <c:dateAx>
        <c:axId val="4903338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53048"/>
        <c:crosses val="autoZero"/>
        <c:auto val="0"/>
        <c:lblOffset val="100"/>
        <c:baseTimeUnit val="days"/>
      </c:dateAx>
      <c:valAx>
        <c:axId val="49045304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33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55792"/>
        <c:axId val="490456184"/>
      </c:lineChart>
      <c:dateAx>
        <c:axId val="490455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56184"/>
        <c:crosses val="autoZero"/>
        <c:auto val="1"/>
        <c:lblOffset val="100"/>
        <c:baseTimeUnit val="days"/>
      </c:dateAx>
      <c:valAx>
        <c:axId val="4904561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5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541680"/>
        <c:axId val="540542072"/>
      </c:lineChart>
      <c:catAx>
        <c:axId val="540541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42072"/>
        <c:crosses val="autoZero"/>
        <c:auto val="1"/>
        <c:lblAlgn val="ctr"/>
        <c:lblOffset val="100"/>
        <c:noMultiLvlLbl val="0"/>
      </c:catAx>
      <c:valAx>
        <c:axId val="540542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4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544032"/>
        <c:axId val="531604400"/>
      </c:lineChart>
      <c:catAx>
        <c:axId val="540544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604400"/>
        <c:crosses val="autoZero"/>
        <c:auto val="1"/>
        <c:lblAlgn val="ctr"/>
        <c:lblOffset val="100"/>
        <c:noMultiLvlLbl val="0"/>
      </c:catAx>
      <c:valAx>
        <c:axId val="5316044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4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606360"/>
        <c:axId val="531606752"/>
      </c:lineChart>
      <c:catAx>
        <c:axId val="531606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606752"/>
        <c:crosses val="autoZero"/>
        <c:auto val="1"/>
        <c:lblAlgn val="ctr"/>
        <c:lblOffset val="100"/>
        <c:noMultiLvlLbl val="0"/>
      </c:catAx>
      <c:valAx>
        <c:axId val="5316067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60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481840"/>
        <c:axId val="531482232"/>
      </c:lineChart>
      <c:dateAx>
        <c:axId val="531481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82232"/>
        <c:crosses val="autoZero"/>
        <c:auto val="1"/>
        <c:lblOffset val="100"/>
        <c:baseTimeUnit val="days"/>
      </c:dateAx>
      <c:valAx>
        <c:axId val="5314822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8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484976"/>
        <c:axId val="531485368"/>
      </c:lineChart>
      <c:dateAx>
        <c:axId val="531484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85368"/>
        <c:crosses val="autoZero"/>
        <c:auto val="1"/>
        <c:lblOffset val="100"/>
        <c:baseTimeUnit val="days"/>
      </c:dateAx>
      <c:valAx>
        <c:axId val="5314853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8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791664"/>
        <c:axId val="524792056"/>
      </c:lineChart>
      <c:catAx>
        <c:axId val="524791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792056"/>
        <c:crosses val="autoZero"/>
        <c:auto val="1"/>
        <c:lblAlgn val="ctr"/>
        <c:lblOffset val="100"/>
        <c:noMultiLvlLbl val="0"/>
      </c:catAx>
      <c:valAx>
        <c:axId val="5247920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79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797544"/>
        <c:axId val="524797936"/>
      </c:lineChart>
      <c:dateAx>
        <c:axId val="524797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797936"/>
        <c:crosses val="autoZero"/>
        <c:auto val="1"/>
        <c:lblOffset val="100"/>
        <c:baseTimeUnit val="days"/>
      </c:dateAx>
      <c:valAx>
        <c:axId val="5247979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79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913" dataDxfId="1912">
  <autoFilter ref="O14:W25"/>
  <tableColumns count="9">
    <tableColumn id="1" name="Date" dataDxfId="1911"/>
    <tableColumn id="2" name="Quarter" dataDxfId="1910"/>
    <tableColumn id="3" name="Time" dataDxfId="1909"/>
    <tableColumn id="4" name="EPS estimate" dataDxfId="1908"/>
    <tableColumn id="5" name="EPS Actual" dataDxfId="1907"/>
    <tableColumn id="6" name="Sales Estiamte (B)" dataDxfId="1906"/>
    <tableColumn id="7" name="Sales Actual (B)" dataDxfId="1905"/>
    <tableColumn id="8" name="Guidance" dataDxfId="1904"/>
    <tableColumn id="9" name="Reaction" dataDxfId="190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494" dataDxfId="1493">
  <autoFilter ref="O16:W27"/>
  <tableColumns count="9">
    <tableColumn id="1" name="Date" dataDxfId="1492"/>
    <tableColumn id="2" name="Quarter" dataDxfId="1491"/>
    <tableColumn id="3" name="Time" dataDxfId="1490"/>
    <tableColumn id="4" name="EPS estimate" dataDxfId="1489"/>
    <tableColumn id="5" name="EPS Actual" dataDxfId="1488"/>
    <tableColumn id="6" name="Sales Estiamte (B)" dataDxfId="1487"/>
    <tableColumn id="7" name="Sales Actual (B)" dataDxfId="1486"/>
    <tableColumn id="8" name="Guidance" dataDxfId="1485"/>
    <tableColumn id="9" name="Reaction" dataDxfId="148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65" dataDxfId="964">
  <autoFilter ref="T80:AB91"/>
  <tableColumns count="9">
    <tableColumn id="1" name="Date" dataDxfId="963"/>
    <tableColumn id="2" name="Quarter" dataDxfId="962"/>
    <tableColumn id="3" name="Time" dataDxfId="961"/>
    <tableColumn id="4" name="EPS estimate" dataDxfId="960"/>
    <tableColumn id="5" name="EPS Actual" dataDxfId="959"/>
    <tableColumn id="6" name="Sales Estiamte (B)" dataDxfId="958"/>
    <tableColumn id="7" name="Sales Actual (B)" dataDxfId="957"/>
    <tableColumn id="8" name="Guidance" dataDxfId="956"/>
    <tableColumn id="9" name="Reaction" dataDxfId="95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76" dataDxfId="475">
  <autoFilter ref="O15:W26"/>
  <tableColumns count="9">
    <tableColumn id="1" name="Date" dataDxfId="474"/>
    <tableColumn id="2" name="Quarter" dataDxfId="473"/>
    <tableColumn id="3" name="Time" dataDxfId="472"/>
    <tableColumn id="4" name="EPS estimate" dataDxfId="471"/>
    <tableColumn id="5" name="EPS Actual" dataDxfId="470"/>
    <tableColumn id="6" name="Sales Estiamte (B)" dataDxfId="469"/>
    <tableColumn id="7" name="Sales Actual (B)" dataDxfId="468"/>
    <tableColumn id="8" name="Guidance" dataDxfId="467"/>
    <tableColumn id="9" name="Reaction" dataDxfId="46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4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5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69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1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V12" sqref="V1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1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01" bestFit="1" customWidth="1"/>
    <col min="15" max="15" width="9.140625" style="778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0" t="s">
        <v>180</v>
      </c>
      <c r="K1" s="349" t="s">
        <v>208</v>
      </c>
      <c r="L1" s="57" t="s">
        <v>178</v>
      </c>
      <c r="M1" s="57" t="s">
        <v>231</v>
      </c>
      <c r="N1" s="800" t="s">
        <v>968</v>
      </c>
      <c r="O1" s="349" t="s">
        <v>207</v>
      </c>
      <c r="P1" s="349" t="s">
        <v>280</v>
      </c>
      <c r="Q1" s="360" t="s">
        <v>997</v>
      </c>
    </row>
    <row r="2" spans="1:22" ht="21.95" customHeight="1" x14ac:dyDescent="0.25">
      <c r="A2" s="50"/>
      <c r="B2" s="50"/>
      <c r="C2" s="51"/>
      <c r="D2" s="799"/>
      <c r="E2" s="22" t="s">
        <v>798</v>
      </c>
      <c r="F2" s="834">
        <v>13.4899</v>
      </c>
      <c r="G2" s="790">
        <v>15.74</v>
      </c>
      <c r="H2" s="799">
        <v>400</v>
      </c>
      <c r="I2" s="790">
        <v>6296</v>
      </c>
      <c r="J2" s="361">
        <v>-900.04</v>
      </c>
      <c r="K2" s="134">
        <v>-0.14295425667090214</v>
      </c>
      <c r="L2" s="361">
        <v>-900.04</v>
      </c>
      <c r="M2">
        <v>200</v>
      </c>
      <c r="N2" s="835" t="s">
        <v>1032</v>
      </c>
      <c r="O2" s="777">
        <v>3.5582176294857631E-2</v>
      </c>
      <c r="P2" s="836">
        <v>2.35E-2</v>
      </c>
      <c r="Q2" s="790">
        <v>14.199894736842106</v>
      </c>
      <c r="R2" s="48"/>
      <c r="S2" s="48"/>
      <c r="T2" s="48"/>
      <c r="U2" s="48"/>
    </row>
    <row r="3" spans="1:22" ht="21.95" customHeight="1" x14ac:dyDescent="0.25">
      <c r="A3" s="50"/>
      <c r="B3" s="50"/>
      <c r="C3" s="51"/>
      <c r="D3" s="799"/>
      <c r="E3" s="22" t="s">
        <v>868</v>
      </c>
      <c r="F3" s="834">
        <v>87.76</v>
      </c>
      <c r="G3" s="790">
        <v>89.732000000000014</v>
      </c>
      <c r="H3" s="799">
        <v>100</v>
      </c>
      <c r="I3" s="790">
        <v>8973.2000000000007</v>
      </c>
      <c r="J3" s="361">
        <v>-197.20000000000073</v>
      </c>
      <c r="K3" s="134">
        <v>-2.1976552400481523E-2</v>
      </c>
      <c r="L3" s="361">
        <v>-197.20000000000073</v>
      </c>
      <c r="M3">
        <v>100</v>
      </c>
      <c r="N3" s="835" t="s">
        <v>1033</v>
      </c>
      <c r="O3" s="777">
        <v>2.59799453053783E-2</v>
      </c>
      <c r="P3" s="836">
        <v>1.0699999999999999E-2</v>
      </c>
      <c r="Q3" s="790">
        <v>13.296969696969699</v>
      </c>
      <c r="R3" s="48"/>
      <c r="S3" s="48"/>
      <c r="U3" s="48"/>
    </row>
    <row r="4" spans="1:22" ht="21.95" customHeight="1" x14ac:dyDescent="0.25">
      <c r="A4" s="50"/>
      <c r="B4" s="50"/>
      <c r="C4" s="51"/>
      <c r="D4" s="799"/>
      <c r="E4" s="22" t="s">
        <v>981</v>
      </c>
      <c r="F4" s="834">
        <v>33.0199</v>
      </c>
      <c r="G4" s="790">
        <v>35.380000000000003</v>
      </c>
      <c r="H4" s="756">
        <v>150</v>
      </c>
      <c r="I4" s="790">
        <v>5307</v>
      </c>
      <c r="J4" s="361">
        <v>-354.01500000000033</v>
      </c>
      <c r="K4" s="134">
        <v>-6.6707179197286678E-2</v>
      </c>
      <c r="L4" s="361">
        <v>-354.01500000000033</v>
      </c>
      <c r="M4" s="29">
        <v>43209</v>
      </c>
      <c r="N4" s="835" t="s">
        <v>1022</v>
      </c>
      <c r="O4" s="777">
        <v>1.9900000000000001E-2</v>
      </c>
      <c r="P4" s="836">
        <v>-3.3E-3</v>
      </c>
      <c r="Q4" s="790">
        <v>13.20796</v>
      </c>
      <c r="S4" s="48"/>
    </row>
    <row r="5" spans="1:22" ht="21.95" customHeight="1" x14ac:dyDescent="0.25">
      <c r="A5" s="154"/>
      <c r="B5" s="50"/>
      <c r="C5" s="51"/>
      <c r="D5" s="799"/>
      <c r="E5" s="22" t="s">
        <v>227</v>
      </c>
      <c r="F5" s="834">
        <v>24.8399</v>
      </c>
      <c r="G5" s="790">
        <v>21.894949999999977</v>
      </c>
      <c r="H5" s="756">
        <v>600</v>
      </c>
      <c r="I5" s="790">
        <v>13136.969999999987</v>
      </c>
      <c r="J5" s="361">
        <v>1766.9700000000139</v>
      </c>
      <c r="K5" s="134">
        <v>0.13450361841429309</v>
      </c>
      <c r="L5" s="361">
        <v>3219.2300000000123</v>
      </c>
      <c r="M5" s="29">
        <v>43220</v>
      </c>
      <c r="N5" s="835" t="s">
        <v>1024</v>
      </c>
      <c r="O5" s="777">
        <v>4.02578110217835E-3</v>
      </c>
      <c r="P5" s="836">
        <v>8.0000000000000004E-4</v>
      </c>
      <c r="Q5" s="790">
        <v>19.871919999999999</v>
      </c>
      <c r="R5" s="48"/>
      <c r="S5" s="48"/>
      <c r="T5" s="48"/>
    </row>
    <row r="6" spans="1:22" ht="21.95" customHeight="1" x14ac:dyDescent="0.25">
      <c r="A6" s="50"/>
      <c r="B6" s="50"/>
      <c r="C6" s="51"/>
      <c r="D6" s="799"/>
      <c r="E6" s="22" t="s">
        <v>966</v>
      </c>
      <c r="F6" s="834">
        <v>196.1199</v>
      </c>
      <c r="G6" s="790">
        <v>198</v>
      </c>
      <c r="H6" s="799">
        <v>20</v>
      </c>
      <c r="I6" s="790">
        <v>3960</v>
      </c>
      <c r="J6" s="361">
        <v>-37.601999999999862</v>
      </c>
      <c r="K6" s="134">
        <v>-9.4954545454545396E-3</v>
      </c>
      <c r="L6" s="361">
        <v>-37.601999999999862</v>
      </c>
      <c r="M6">
        <v>20</v>
      </c>
      <c r="N6" s="835" t="s">
        <v>1024</v>
      </c>
      <c r="O6" s="777">
        <v>8.9741020671538184E-3</v>
      </c>
      <c r="P6" s="836">
        <v>-3.1099999999999999E-2</v>
      </c>
      <c r="Q6" s="790">
        <v>22.751728538283064</v>
      </c>
      <c r="R6" s="48"/>
    </row>
    <row r="7" spans="1:22" ht="21.95" customHeight="1" x14ac:dyDescent="0.25">
      <c r="A7" s="50"/>
      <c r="B7" s="51"/>
      <c r="C7" s="51"/>
      <c r="D7" s="799"/>
      <c r="E7" s="22" t="s">
        <v>343</v>
      </c>
      <c r="F7" s="834">
        <v>71.52</v>
      </c>
      <c r="G7" s="790">
        <v>70.28</v>
      </c>
      <c r="H7" s="799">
        <v>50</v>
      </c>
      <c r="I7" s="790">
        <v>3514</v>
      </c>
      <c r="J7" s="361">
        <v>62</v>
      </c>
      <c r="K7" s="134">
        <v>1.764371087080243E-2</v>
      </c>
      <c r="L7" s="790">
        <v>2122.4300000000003</v>
      </c>
      <c r="M7">
        <v>50</v>
      </c>
      <c r="N7" s="835" t="s">
        <v>1025</v>
      </c>
      <c r="O7" s="777">
        <v>4.3499999999999997E-2</v>
      </c>
      <c r="P7" s="836">
        <v>-1.26E-2</v>
      </c>
      <c r="Q7" s="790">
        <v>13.622857142857143</v>
      </c>
      <c r="T7" s="48"/>
    </row>
    <row r="8" spans="1:22" ht="21.95" customHeight="1" x14ac:dyDescent="0.25">
      <c r="A8" s="50"/>
      <c r="B8" s="50"/>
      <c r="C8" s="51"/>
      <c r="D8" s="799"/>
      <c r="E8" s="22" t="s">
        <v>50</v>
      </c>
      <c r="F8" s="834">
        <v>18.16</v>
      </c>
      <c r="G8" s="790">
        <v>14.845222499999974</v>
      </c>
      <c r="H8" s="799">
        <v>4000</v>
      </c>
      <c r="I8" s="790">
        <v>59380.889999999898</v>
      </c>
      <c r="J8" s="361">
        <v>13259.110000000102</v>
      </c>
      <c r="K8" s="134">
        <v>0.22328917602952952</v>
      </c>
      <c r="L8" s="361">
        <v>27874.681000001729</v>
      </c>
      <c r="M8">
        <v>2000</v>
      </c>
      <c r="N8" s="835" t="s">
        <v>1019</v>
      </c>
      <c r="O8" s="777">
        <v>1.1013215859030838E-2</v>
      </c>
      <c r="P8" s="836">
        <v>3.0099999999999998E-2</v>
      </c>
      <c r="Q8" s="837"/>
      <c r="R8" s="48"/>
      <c r="S8" s="48"/>
    </row>
    <row r="9" spans="1:22" ht="21.95" customHeight="1" x14ac:dyDescent="0.25">
      <c r="A9" s="50"/>
      <c r="B9" s="50"/>
      <c r="C9" s="51"/>
      <c r="D9" s="799"/>
      <c r="E9" s="22" t="s">
        <v>944</v>
      </c>
      <c r="F9" s="834">
        <v>72.539900000000003</v>
      </c>
      <c r="G9" s="790">
        <v>67.34</v>
      </c>
      <c r="H9" s="799">
        <v>40</v>
      </c>
      <c r="I9" s="790">
        <v>2693.6000000000004</v>
      </c>
      <c r="J9" s="361">
        <v>207.99600000000009</v>
      </c>
      <c r="K9" s="134">
        <v>7.7218592218592202E-2</v>
      </c>
      <c r="L9" s="361">
        <v>207.99600000000009</v>
      </c>
      <c r="M9">
        <v>40</v>
      </c>
      <c r="N9" s="835" t="s">
        <v>1019</v>
      </c>
      <c r="O9" s="777">
        <v>1.3234095994066712E-2</v>
      </c>
      <c r="P9" s="836">
        <v>1.1000000000000001E-3</v>
      </c>
      <c r="Q9" s="790">
        <v>20.433774647887326</v>
      </c>
      <c r="R9" s="48"/>
      <c r="S9" s="48"/>
      <c r="T9" s="48"/>
    </row>
    <row r="10" spans="1:22" ht="21.95" customHeight="1" x14ac:dyDescent="0.25">
      <c r="A10" s="50"/>
      <c r="B10" s="50"/>
      <c r="C10" s="51"/>
      <c r="D10" s="799"/>
      <c r="E10" s="22" t="s">
        <v>982</v>
      </c>
      <c r="F10" s="834">
        <v>93.979900000000001</v>
      </c>
      <c r="G10" s="790">
        <v>90.58</v>
      </c>
      <c r="H10" s="799">
        <v>50</v>
      </c>
      <c r="I10" s="790">
        <v>4529</v>
      </c>
      <c r="J10" s="361">
        <v>169.99499999999989</v>
      </c>
      <c r="K10" s="134">
        <v>3.7534775888717183E-2</v>
      </c>
      <c r="L10" s="361">
        <v>169.99499999999989</v>
      </c>
      <c r="M10" s="29">
        <v>43209</v>
      </c>
      <c r="N10" s="839" t="s">
        <v>1023</v>
      </c>
      <c r="O10" s="777">
        <v>6.8099668120523644E-3</v>
      </c>
      <c r="P10" s="836">
        <v>4.7000000000000002E-3</v>
      </c>
      <c r="Q10" s="837">
        <v>12.734403794037942</v>
      </c>
      <c r="R10" s="48"/>
      <c r="S10" s="48"/>
      <c r="T10" s="48"/>
    </row>
    <row r="11" spans="1:22" ht="21.95" customHeight="1" x14ac:dyDescent="0.25">
      <c r="A11" s="50"/>
      <c r="B11" s="50"/>
      <c r="C11" s="51"/>
      <c r="D11" s="799"/>
      <c r="E11" s="22" t="s">
        <v>196</v>
      </c>
      <c r="F11" s="834">
        <v>23.729900000000001</v>
      </c>
      <c r="G11" s="790">
        <v>27.781843999999996</v>
      </c>
      <c r="H11" s="799">
        <v>2500</v>
      </c>
      <c r="I11" s="790">
        <v>69454.609999999986</v>
      </c>
      <c r="J11" s="361">
        <v>-10129.859999999986</v>
      </c>
      <c r="K11" s="134">
        <v>-0.1458486340935467</v>
      </c>
      <c r="L11" s="361">
        <v>-8381.8899999999921</v>
      </c>
      <c r="M11">
        <v>1500</v>
      </c>
      <c r="N11" s="835" t="s">
        <v>1037</v>
      </c>
      <c r="O11" s="777">
        <v>2.1070463845191088E-2</v>
      </c>
      <c r="P11" s="836">
        <v>5.4999999999999997E-3</v>
      </c>
      <c r="Q11" s="790">
        <v>11.575560975609758</v>
      </c>
      <c r="R11" s="48"/>
      <c r="T11" s="48"/>
      <c r="V11" s="48"/>
    </row>
    <row r="12" spans="1:22" ht="21.95" customHeight="1" x14ac:dyDescent="0.25">
      <c r="A12" s="50"/>
      <c r="B12" s="50"/>
      <c r="C12" s="51"/>
      <c r="D12" s="799"/>
      <c r="E12" s="22" t="s">
        <v>842</v>
      </c>
      <c r="F12" s="842">
        <v>22.889900000000001</v>
      </c>
      <c r="G12" s="790">
        <v>30.933060000000005</v>
      </c>
      <c r="H12" s="799">
        <v>500</v>
      </c>
      <c r="I12" s="790">
        <v>15466.530000000002</v>
      </c>
      <c r="J12" s="361">
        <v>-4021.5800000000017</v>
      </c>
      <c r="K12" s="134">
        <v>-0.26001824585087935</v>
      </c>
      <c r="L12" s="361">
        <v>-4021.5800000000017</v>
      </c>
      <c r="M12">
        <v>203</v>
      </c>
      <c r="N12" s="835"/>
      <c r="O12" s="777">
        <v>4.5434886128816639E-2</v>
      </c>
      <c r="P12" s="836">
        <v>1.2999999999999999E-3</v>
      </c>
      <c r="Q12" s="790">
        <v>13.46464705882353</v>
      </c>
      <c r="R12" s="48"/>
      <c r="S12" s="48"/>
      <c r="T12" s="48"/>
    </row>
    <row r="13" spans="1:22" ht="21.95" customHeight="1" x14ac:dyDescent="0.25">
      <c r="A13" s="50"/>
      <c r="B13" s="51"/>
      <c r="C13" s="51"/>
      <c r="D13" s="799"/>
      <c r="E13" s="22" t="s">
        <v>747</v>
      </c>
      <c r="F13" s="834">
        <v>68.979900000000001</v>
      </c>
      <c r="G13" s="790">
        <v>71.381699999999995</v>
      </c>
      <c r="H13" s="799">
        <v>200</v>
      </c>
      <c r="I13" s="790">
        <v>14276.339999999998</v>
      </c>
      <c r="J13" s="361">
        <v>-480.36000000000058</v>
      </c>
      <c r="K13" s="134">
        <v>-3.3647279344705919E-2</v>
      </c>
      <c r="L13" s="361">
        <v>-480.36000000000058</v>
      </c>
      <c r="M13">
        <v>200</v>
      </c>
      <c r="N13" s="835"/>
      <c r="O13" s="777">
        <v>0</v>
      </c>
      <c r="P13" s="836">
        <v>-1.06E-2</v>
      </c>
      <c r="Q13" s="790">
        <v>16.886144430844553</v>
      </c>
      <c r="R13" s="48"/>
      <c r="S13" s="48"/>
      <c r="T13" s="48"/>
    </row>
    <row r="14" spans="1:22" ht="21.95" customHeight="1" x14ac:dyDescent="0.25">
      <c r="A14" s="50"/>
      <c r="B14" s="51"/>
      <c r="C14" s="51"/>
      <c r="D14" s="799"/>
      <c r="E14" s="22" t="s">
        <v>749</v>
      </c>
      <c r="F14" s="834">
        <v>63.82</v>
      </c>
      <c r="G14" s="790">
        <v>69.008250000000004</v>
      </c>
      <c r="H14" s="756">
        <v>200</v>
      </c>
      <c r="I14" s="790">
        <v>13801.650000000001</v>
      </c>
      <c r="J14" s="361">
        <v>-1037.6500000000015</v>
      </c>
      <c r="K14" s="134">
        <v>-7.5183039709020349E-2</v>
      </c>
      <c r="L14" s="361">
        <v>-1037.6500000000015</v>
      </c>
      <c r="M14">
        <v>200</v>
      </c>
      <c r="N14" s="835"/>
      <c r="O14" s="777">
        <v>2.507051081165779E-2</v>
      </c>
      <c r="P14" s="836">
        <v>-3.3999999999999998E-3</v>
      </c>
      <c r="Q14" s="837">
        <v>10.726050420168068</v>
      </c>
      <c r="S14" s="48"/>
    </row>
    <row r="15" spans="1:22" ht="21.95" customHeight="1" x14ac:dyDescent="0.25">
      <c r="A15" s="50"/>
      <c r="B15" s="50"/>
      <c r="C15" s="51"/>
      <c r="D15" s="799"/>
      <c r="E15" s="22" t="s">
        <v>215</v>
      </c>
      <c r="F15" s="834">
        <v>38.630000000000003</v>
      </c>
      <c r="G15" s="790">
        <v>52.753959999999992</v>
      </c>
      <c r="H15" s="756">
        <v>250</v>
      </c>
      <c r="I15" s="790">
        <v>13188.489999999998</v>
      </c>
      <c r="J15" s="361">
        <v>-3530.989999999998</v>
      </c>
      <c r="K15" s="134">
        <v>-0.26773269722310877</v>
      </c>
      <c r="L15" s="361">
        <v>-2373.1200000000026</v>
      </c>
      <c r="M15">
        <v>250</v>
      </c>
      <c r="N15" s="835"/>
      <c r="O15" s="777">
        <v>3.2099404607817753E-2</v>
      </c>
      <c r="P15" s="836">
        <v>3.8999999999999998E-3</v>
      </c>
      <c r="Q15" s="837">
        <v>9.6575000000000006</v>
      </c>
      <c r="R15" s="48"/>
      <c r="S15" s="48"/>
    </row>
    <row r="16" spans="1:22" ht="21.95" customHeight="1" x14ac:dyDescent="0.25">
      <c r="A16" s="50"/>
      <c r="B16" s="50"/>
      <c r="C16" s="51"/>
      <c r="D16" s="799"/>
      <c r="E16" s="22" t="s">
        <v>706</v>
      </c>
      <c r="F16" s="834">
        <v>220.88</v>
      </c>
      <c r="G16" s="790">
        <v>187.94971428571432</v>
      </c>
      <c r="H16" s="799">
        <v>70</v>
      </c>
      <c r="I16" s="790">
        <v>13156.480000000003</v>
      </c>
      <c r="J16" s="361">
        <v>2305.1199999999972</v>
      </c>
      <c r="K16" s="134">
        <v>0.17520795835968259</v>
      </c>
      <c r="L16" s="361">
        <v>2529.8899999999976</v>
      </c>
      <c r="M16" s="29">
        <v>43209</v>
      </c>
      <c r="N16" s="835"/>
      <c r="O16" s="777">
        <v>0</v>
      </c>
      <c r="P16" s="836">
        <v>1.41E-2</v>
      </c>
      <c r="Q16" s="790">
        <v>22.557189542483659</v>
      </c>
      <c r="T16" s="48"/>
    </row>
    <row r="17" spans="1:22" ht="21.95" customHeight="1" x14ac:dyDescent="0.25">
      <c r="A17" s="50"/>
      <c r="B17" s="50"/>
      <c r="C17" s="51"/>
      <c r="D17" s="799"/>
      <c r="E17" s="22" t="s">
        <v>174</v>
      </c>
      <c r="F17" s="843">
        <v>25.72</v>
      </c>
      <c r="G17" s="790">
        <v>34.415789473684185</v>
      </c>
      <c r="H17" s="799">
        <v>380</v>
      </c>
      <c r="I17" s="790">
        <v>13077.999999999991</v>
      </c>
      <c r="J17" s="361">
        <v>-3304.3999999999887</v>
      </c>
      <c r="K17" s="134">
        <v>-0.25266860376204259</v>
      </c>
      <c r="L17" s="361">
        <v>-3229.3799999999887</v>
      </c>
      <c r="M17">
        <v>160</v>
      </c>
      <c r="N17" s="835"/>
      <c r="O17" s="777">
        <v>3.5769828926905133E-2</v>
      </c>
      <c r="P17" s="836">
        <v>-1.6000000000000001E-3</v>
      </c>
      <c r="Q17" s="790"/>
      <c r="R17" s="48"/>
      <c r="S17" s="48"/>
    </row>
    <row r="18" spans="1:22" ht="21.95" customHeight="1" x14ac:dyDescent="0.25">
      <c r="A18" s="50"/>
      <c r="B18" s="51"/>
      <c r="C18" s="51"/>
      <c r="D18" s="799"/>
      <c r="E18" s="22" t="s">
        <v>175</v>
      </c>
      <c r="F18" s="834">
        <v>265.1499</v>
      </c>
      <c r="G18" s="790">
        <v>260.45279999999997</v>
      </c>
      <c r="H18" s="756">
        <v>50</v>
      </c>
      <c r="I18" s="790">
        <v>13022.639999999998</v>
      </c>
      <c r="J18" s="361">
        <v>234.85500000000138</v>
      </c>
      <c r="K18" s="134">
        <v>1.8034361696246056E-2</v>
      </c>
      <c r="L18" s="361">
        <v>395.68500000000131</v>
      </c>
      <c r="M18">
        <v>10</v>
      </c>
      <c r="N18" s="835"/>
      <c r="O18" s="777">
        <v>1.84E-2</v>
      </c>
      <c r="P18" s="836">
        <v>-2.8999999999999998E-3</v>
      </c>
      <c r="Q18" s="837">
        <v>17</v>
      </c>
      <c r="R18" s="48"/>
      <c r="S18" s="48"/>
      <c r="T18" s="48"/>
    </row>
    <row r="19" spans="1:22" ht="21.95" customHeight="1" x14ac:dyDescent="0.25">
      <c r="A19" s="51"/>
      <c r="B19" s="51"/>
      <c r="C19" s="51"/>
      <c r="D19" s="799"/>
      <c r="E19" s="22" t="s">
        <v>939</v>
      </c>
      <c r="F19" s="834">
        <v>243.57990000000001</v>
      </c>
      <c r="G19" s="790">
        <v>238.08577777777776</v>
      </c>
      <c r="H19" s="756">
        <v>45</v>
      </c>
      <c r="I19" s="790">
        <v>10713.859999999999</v>
      </c>
      <c r="J19" s="361">
        <v>247.2355000000025</v>
      </c>
      <c r="K19" s="134">
        <v>2.3076230228881191E-2</v>
      </c>
      <c r="L19" s="790">
        <v>247.2355000000025</v>
      </c>
      <c r="M19">
        <v>20</v>
      </c>
      <c r="N19" s="835"/>
      <c r="O19" s="777">
        <v>1.9900000000000001E-2</v>
      </c>
      <c r="P19" s="836">
        <v>-5.0000000000000001E-3</v>
      </c>
      <c r="Q19" s="837">
        <v>16.34</v>
      </c>
      <c r="S19" s="48"/>
      <c r="T19" s="48"/>
    </row>
    <row r="20" spans="1:22" ht="21.95" customHeight="1" x14ac:dyDescent="0.25">
      <c r="A20" s="50"/>
      <c r="B20" s="50"/>
      <c r="C20" s="51"/>
      <c r="D20" s="799"/>
      <c r="E20" s="22" t="s">
        <v>173</v>
      </c>
      <c r="F20" s="840">
        <v>50.89</v>
      </c>
      <c r="G20" s="790">
        <v>52.874250000000004</v>
      </c>
      <c r="H20" s="799">
        <v>200</v>
      </c>
      <c r="I20" s="790">
        <v>10574.85</v>
      </c>
      <c r="J20" s="361">
        <v>-396.85000000000036</v>
      </c>
      <c r="K20" s="134">
        <v>-3.7527719069301274E-2</v>
      </c>
      <c r="L20" s="361">
        <v>1207.7300000000014</v>
      </c>
      <c r="M20">
        <v>120</v>
      </c>
      <c r="N20" s="835"/>
      <c r="O20" s="777">
        <v>3.0654352525054038E-2</v>
      </c>
      <c r="P20" s="836">
        <v>-3.44E-2</v>
      </c>
      <c r="Q20" s="790"/>
      <c r="R20" s="48"/>
      <c r="S20" s="48"/>
      <c r="T20" s="48"/>
    </row>
    <row r="21" spans="1:22" ht="21.95" customHeight="1" x14ac:dyDescent="0.25">
      <c r="A21" s="51"/>
      <c r="B21" s="51"/>
      <c r="C21" s="51"/>
      <c r="D21" s="799"/>
      <c r="E21" s="22" t="s">
        <v>983</v>
      </c>
      <c r="F21" s="834">
        <v>161.3699</v>
      </c>
      <c r="G21" s="790">
        <v>161.49620000000002</v>
      </c>
      <c r="H21" s="799">
        <v>50</v>
      </c>
      <c r="I21" s="790">
        <v>8074.81</v>
      </c>
      <c r="J21" s="361">
        <v>-6.3150000000005093</v>
      </c>
      <c r="K21" s="134">
        <v>-7.8206174510616797E-4</v>
      </c>
      <c r="L21" s="361">
        <v>-6.3150000000005093</v>
      </c>
      <c r="M21" s="29">
        <v>43213</v>
      </c>
      <c r="N21" s="835"/>
      <c r="O21" s="777">
        <v>7.9320864671788231E-3</v>
      </c>
      <c r="P21" s="836">
        <v>-5.1999999999999998E-3</v>
      </c>
      <c r="Q21" s="837">
        <v>19.68</v>
      </c>
      <c r="R21" s="48"/>
      <c r="S21" s="48"/>
      <c r="T21" s="48"/>
      <c r="V21" s="48"/>
    </row>
    <row r="22" spans="1:22" ht="21.95" customHeight="1" x14ac:dyDescent="0.25">
      <c r="A22" s="50"/>
      <c r="B22" s="50"/>
      <c r="C22" s="51"/>
      <c r="D22" s="799"/>
      <c r="E22" s="22" t="s">
        <v>171</v>
      </c>
      <c r="F22" s="834">
        <v>44.799900000000001</v>
      </c>
      <c r="G22" s="790">
        <v>52.843066666666672</v>
      </c>
      <c r="H22" s="799">
        <v>150</v>
      </c>
      <c r="I22" s="790">
        <v>7926.4600000000009</v>
      </c>
      <c r="J22" s="361">
        <v>-1206.4749999999985</v>
      </c>
      <c r="K22" s="134">
        <v>-0.15220855211532017</v>
      </c>
      <c r="L22" s="361">
        <v>-1156.5249999999987</v>
      </c>
      <c r="M22">
        <v>100</v>
      </c>
      <c r="N22" s="835"/>
      <c r="O22" s="777">
        <v>4.3750097656467979E-2</v>
      </c>
      <c r="P22" s="836">
        <v>4.8999999999999998E-3</v>
      </c>
      <c r="Q22" s="790">
        <v>14.545422077922078</v>
      </c>
      <c r="R22" s="48"/>
    </row>
    <row r="23" spans="1:22" ht="21.95" customHeight="1" x14ac:dyDescent="0.25">
      <c r="A23" s="51"/>
      <c r="B23" s="154"/>
      <c r="C23" s="328"/>
      <c r="D23" s="799"/>
      <c r="E23" s="22" t="s">
        <v>967</v>
      </c>
      <c r="F23" s="834">
        <v>45.2</v>
      </c>
      <c r="G23" s="790">
        <v>38.78</v>
      </c>
      <c r="H23" s="799">
        <v>200</v>
      </c>
      <c r="I23" s="790">
        <v>7756</v>
      </c>
      <c r="J23" s="361">
        <v>1284</v>
      </c>
      <c r="K23" s="134">
        <v>0.16554925219185151</v>
      </c>
      <c r="L23" s="361">
        <v>1284</v>
      </c>
      <c r="M23">
        <v>200</v>
      </c>
      <c r="N23" s="839"/>
      <c r="O23" s="777">
        <v>3.053097345132743E-2</v>
      </c>
      <c r="P23" s="836">
        <v>-1.5900000000000001E-2</v>
      </c>
      <c r="Q23" s="790">
        <v>10.272727272727273</v>
      </c>
      <c r="R23" s="48"/>
    </row>
    <row r="24" spans="1:22" ht="21.95" customHeight="1" x14ac:dyDescent="0.25">
      <c r="A24" s="50"/>
      <c r="B24" s="50"/>
      <c r="C24" s="51"/>
      <c r="D24" s="799"/>
      <c r="E24" s="22" t="s">
        <v>332</v>
      </c>
      <c r="F24" s="834">
        <v>18.05</v>
      </c>
      <c r="G24" s="790">
        <v>19.327500000000001</v>
      </c>
      <c r="H24" s="799">
        <v>400</v>
      </c>
      <c r="I24" s="790">
        <v>7731</v>
      </c>
      <c r="J24" s="361">
        <v>-511</v>
      </c>
      <c r="K24" s="134">
        <v>-6.6097529426982271E-2</v>
      </c>
      <c r="L24" s="361">
        <v>-226.0299999999952</v>
      </c>
      <c r="M24">
        <v>300</v>
      </c>
      <c r="N24" s="835"/>
      <c r="O24" s="777">
        <v>1.5955678670360109E-2</v>
      </c>
      <c r="P24" s="836">
        <v>-7.1999999999999998E-3</v>
      </c>
      <c r="Q24" s="837">
        <v>7.3673469387755102</v>
      </c>
      <c r="R24" s="48"/>
      <c r="S24" s="48"/>
      <c r="T24" s="48"/>
    </row>
    <row r="25" spans="1:22" ht="21.95" customHeight="1" x14ac:dyDescent="0.25">
      <c r="A25" s="51"/>
      <c r="B25" s="51"/>
      <c r="C25" s="51"/>
      <c r="D25" s="799"/>
      <c r="E25" s="22" t="s">
        <v>940</v>
      </c>
      <c r="F25" s="834">
        <v>130.80000000000001</v>
      </c>
      <c r="G25" s="790">
        <v>140.6174</v>
      </c>
      <c r="H25" s="799">
        <v>50</v>
      </c>
      <c r="I25" s="790">
        <v>7030.87</v>
      </c>
      <c r="J25" s="361">
        <v>-490.86999999999989</v>
      </c>
      <c r="K25" s="134">
        <v>-6.9816395410525242E-2</v>
      </c>
      <c r="L25" s="361">
        <v>-490.86999999999989</v>
      </c>
      <c r="M25">
        <v>20</v>
      </c>
      <c r="N25" s="839"/>
      <c r="O25" s="777">
        <v>0</v>
      </c>
      <c r="P25" s="836">
        <v>-2.8999999999999998E-3</v>
      </c>
      <c r="Q25" s="790">
        <v>15.174013921113692</v>
      </c>
      <c r="R25" s="48"/>
      <c r="S25" s="48"/>
      <c r="T25" s="48"/>
    </row>
    <row r="26" spans="1:22" ht="21.95" customHeight="1" x14ac:dyDescent="0.25">
      <c r="A26" s="50"/>
      <c r="B26" s="51"/>
      <c r="C26" s="51"/>
      <c r="D26" s="799"/>
      <c r="E26" s="22" t="s">
        <v>689</v>
      </c>
      <c r="F26" s="834">
        <v>106.6099</v>
      </c>
      <c r="G26" s="790">
        <v>87.777200000000008</v>
      </c>
      <c r="H26" s="799">
        <v>75</v>
      </c>
      <c r="I26" s="790">
        <v>6583.2900000000009</v>
      </c>
      <c r="J26" s="361">
        <v>1412.4524999999985</v>
      </c>
      <c r="K26" s="134">
        <v>0.21455115907092032</v>
      </c>
      <c r="L26" s="361">
        <v>1412.4524999999985</v>
      </c>
      <c r="M26">
        <v>50</v>
      </c>
      <c r="N26" s="835"/>
      <c r="O26" s="777">
        <v>2.8E-3</v>
      </c>
      <c r="P26" s="836">
        <v>-3.5799999999999998E-2</v>
      </c>
      <c r="Q26" s="790">
        <v>15.935710014947682</v>
      </c>
      <c r="R26" s="48"/>
      <c r="S26" s="48"/>
    </row>
    <row r="27" spans="1:22" ht="21.95" customHeight="1" x14ac:dyDescent="0.25">
      <c r="A27" s="50"/>
      <c r="B27" s="50"/>
      <c r="C27" s="51"/>
      <c r="D27" s="799"/>
      <c r="E27" s="22" t="s">
        <v>963</v>
      </c>
      <c r="F27" s="834">
        <v>60.92</v>
      </c>
      <c r="G27" s="790">
        <v>64.347499999999997</v>
      </c>
      <c r="H27" s="756">
        <v>100</v>
      </c>
      <c r="I27" s="838">
        <v>6434.75</v>
      </c>
      <c r="J27" s="361">
        <v>-342.75</v>
      </c>
      <c r="K27" s="134">
        <v>-5.3265472629084196E-2</v>
      </c>
      <c r="L27" s="361">
        <v>-342.75</v>
      </c>
      <c r="M27">
        <v>50</v>
      </c>
      <c r="N27" s="835"/>
      <c r="O27" s="777">
        <v>4.1037426132632962E-2</v>
      </c>
      <c r="P27" s="836">
        <v>-2.9999999999999997E-4</v>
      </c>
      <c r="Q27" s="837">
        <v>16.073878627968337</v>
      </c>
      <c r="S27" s="48"/>
      <c r="T27" s="48"/>
    </row>
    <row r="28" spans="1:22" ht="21.95" customHeight="1" x14ac:dyDescent="0.25">
      <c r="A28" s="50"/>
      <c r="B28" s="50"/>
      <c r="C28" s="51"/>
      <c r="D28" s="799"/>
      <c r="E28" s="22" t="s">
        <v>14</v>
      </c>
      <c r="F28" s="834">
        <v>63.95</v>
      </c>
      <c r="G28" s="790">
        <v>60.57</v>
      </c>
      <c r="H28" s="756">
        <v>100</v>
      </c>
      <c r="I28" s="790">
        <v>6057</v>
      </c>
      <c r="J28" s="361">
        <v>338</v>
      </c>
      <c r="K28" s="134">
        <v>5.5803202905728953E-2</v>
      </c>
      <c r="L28" s="361">
        <v>338</v>
      </c>
      <c r="M28" s="29">
        <v>43213</v>
      </c>
      <c r="N28" s="835"/>
      <c r="O28" s="777">
        <v>4.1282251759186865E-2</v>
      </c>
      <c r="P28" s="836">
        <v>8.6999999999999994E-3</v>
      </c>
      <c r="Q28" s="790">
        <v>15.987500000000001</v>
      </c>
      <c r="R28" s="48"/>
      <c r="S28" s="48"/>
    </row>
    <row r="29" spans="1:22" ht="21.95" customHeight="1" x14ac:dyDescent="0.25">
      <c r="A29" s="50"/>
      <c r="B29" s="51"/>
      <c r="C29" s="51"/>
      <c r="D29" s="799"/>
      <c r="E29" s="22" t="s">
        <v>943</v>
      </c>
      <c r="F29" s="840">
        <v>31.310099999999998</v>
      </c>
      <c r="G29" s="790">
        <v>29.493499999999997</v>
      </c>
      <c r="H29" s="841">
        <v>200</v>
      </c>
      <c r="I29" s="790">
        <v>5898.7</v>
      </c>
      <c r="J29" s="361">
        <v>363.31999999999971</v>
      </c>
      <c r="K29" s="134">
        <v>6.1593232407140597E-2</v>
      </c>
      <c r="L29" s="790">
        <v>363.31999999999971</v>
      </c>
      <c r="M29">
        <v>100</v>
      </c>
      <c r="N29" s="835"/>
      <c r="O29" s="777">
        <v>8.4317839930246163E-2</v>
      </c>
      <c r="P29" s="836">
        <v>1.1000000000000001E-3</v>
      </c>
      <c r="Q29" s="837"/>
      <c r="S29" s="48"/>
    </row>
    <row r="30" spans="1:22" ht="21.95" customHeight="1" x14ac:dyDescent="0.25">
      <c r="A30" s="50"/>
      <c r="B30" s="50"/>
      <c r="C30" s="51"/>
      <c r="D30" s="799"/>
      <c r="E30" s="22" t="s">
        <v>988</v>
      </c>
      <c r="F30" s="834">
        <v>49</v>
      </c>
      <c r="G30" s="790">
        <v>52.8</v>
      </c>
      <c r="H30" s="799">
        <v>100</v>
      </c>
      <c r="I30" s="790">
        <v>5280</v>
      </c>
      <c r="J30" s="361">
        <v>-380</v>
      </c>
      <c r="K30" s="134">
        <v>-7.196969696969692E-2</v>
      </c>
      <c r="L30" s="361">
        <v>-380</v>
      </c>
      <c r="M30" s="29">
        <v>43213</v>
      </c>
      <c r="N30" s="835"/>
      <c r="O30" s="777">
        <v>1.9900000000000001E-2</v>
      </c>
      <c r="P30" s="836">
        <v>-3.8999999999999998E-3</v>
      </c>
      <c r="Q30" s="837">
        <v>17.818181818181817</v>
      </c>
      <c r="R30" s="48"/>
      <c r="S30" s="48"/>
      <c r="T30" s="48"/>
    </row>
    <row r="31" spans="1:22" ht="21.95" customHeight="1" x14ac:dyDescent="0.25">
      <c r="A31" s="50"/>
      <c r="B31" s="50"/>
      <c r="C31" s="51"/>
      <c r="D31" s="799"/>
      <c r="E31" s="22" t="s">
        <v>328</v>
      </c>
      <c r="F31" s="834">
        <v>10.889900000000001</v>
      </c>
      <c r="G31" s="790">
        <v>16.699633333333331</v>
      </c>
      <c r="H31" s="756">
        <v>300</v>
      </c>
      <c r="I31" s="790">
        <v>5009.8899999999994</v>
      </c>
      <c r="J31" s="361">
        <v>-1742.9199999999992</v>
      </c>
      <c r="K31" s="134">
        <v>-0.34789586198499356</v>
      </c>
      <c r="L31" s="361">
        <v>-459.50000000000455</v>
      </c>
      <c r="M31">
        <v>300</v>
      </c>
      <c r="N31" s="835"/>
      <c r="O31" s="777">
        <v>0</v>
      </c>
      <c r="P31" s="836">
        <v>4.5999999999999999E-3</v>
      </c>
      <c r="Q31" s="790">
        <v>34.0309375</v>
      </c>
      <c r="R31" s="48"/>
      <c r="S31" s="48"/>
      <c r="T31" s="48"/>
    </row>
    <row r="32" spans="1:22" ht="21.95" customHeight="1" x14ac:dyDescent="0.25">
      <c r="A32" s="50"/>
      <c r="B32" s="50"/>
      <c r="C32" s="50"/>
      <c r="D32" s="799"/>
      <c r="E32" s="22" t="s">
        <v>32</v>
      </c>
      <c r="F32" s="834">
        <v>52.92</v>
      </c>
      <c r="G32" s="790">
        <v>49.274999999999999</v>
      </c>
      <c r="H32" s="799">
        <v>100</v>
      </c>
      <c r="I32" s="790">
        <v>4927.5</v>
      </c>
      <c r="J32" s="361">
        <v>364.5</v>
      </c>
      <c r="K32" s="134">
        <v>7.3972602739726098E-2</v>
      </c>
      <c r="L32" s="361">
        <v>1562.9699999999971</v>
      </c>
      <c r="M32">
        <v>100</v>
      </c>
      <c r="N32" s="835"/>
      <c r="O32" s="777">
        <v>2.3053665910808766E-2</v>
      </c>
      <c r="P32" s="836">
        <v>-1.1000000000000001E-3</v>
      </c>
      <c r="Q32" s="790">
        <v>8.4807692307692299</v>
      </c>
      <c r="S32" s="48"/>
    </row>
    <row r="33" spans="1:22" ht="21.95" customHeight="1" x14ac:dyDescent="0.25">
      <c r="A33" s="51"/>
      <c r="B33" s="51"/>
      <c r="C33" s="51"/>
      <c r="D33" s="799"/>
      <c r="E33" s="22" t="s">
        <v>942</v>
      </c>
      <c r="F33" s="840">
        <v>35.14</v>
      </c>
      <c r="G33" s="790">
        <v>36.58</v>
      </c>
      <c r="H33" s="756">
        <v>100</v>
      </c>
      <c r="I33" s="790">
        <v>3658</v>
      </c>
      <c r="J33" s="361">
        <v>-144</v>
      </c>
      <c r="K33" s="134">
        <v>-3.9365773646801473E-2</v>
      </c>
      <c r="L33" s="361">
        <v>-144</v>
      </c>
      <c r="M33">
        <v>100</v>
      </c>
      <c r="N33" s="839"/>
      <c r="O33" s="777">
        <v>2.8457598178713715E-2</v>
      </c>
      <c r="P33" s="836">
        <v>-5.9999999999999995E-4</v>
      </c>
      <c r="Q33" s="790">
        <v>10.126801152737752</v>
      </c>
      <c r="R33" s="48"/>
      <c r="S33" s="48"/>
      <c r="T33" s="48"/>
    </row>
    <row r="34" spans="1:22" ht="21.95" customHeight="1" x14ac:dyDescent="0.25">
      <c r="A34" s="50"/>
      <c r="B34" s="50"/>
      <c r="C34" s="51"/>
      <c r="D34" s="799"/>
      <c r="E34" s="22" t="s">
        <v>55</v>
      </c>
      <c r="F34" s="840">
        <v>75.22</v>
      </c>
      <c r="G34" s="790">
        <v>71.080000000000013</v>
      </c>
      <c r="H34" s="799">
        <v>50</v>
      </c>
      <c r="I34" s="790">
        <v>3554.0000000000005</v>
      </c>
      <c r="J34" s="361">
        <v>206.99999999999955</v>
      </c>
      <c r="K34" s="134">
        <v>5.8244231851434798E-2</v>
      </c>
      <c r="L34" s="361">
        <v>1017.1299999999896</v>
      </c>
      <c r="M34">
        <v>50</v>
      </c>
      <c r="N34" s="835"/>
      <c r="O34" s="777">
        <v>2.7652220154214306E-2</v>
      </c>
      <c r="P34" s="836">
        <v>-8.9999999999999998E-4</v>
      </c>
      <c r="Q34" s="790">
        <v>11.643962848297214</v>
      </c>
      <c r="R34" s="48"/>
      <c r="S34" s="48"/>
      <c r="U34" s="48"/>
    </row>
    <row r="35" spans="1:22" ht="21.95" customHeight="1" x14ac:dyDescent="0.25">
      <c r="A35" s="50"/>
      <c r="B35" s="50"/>
      <c r="C35" s="51"/>
      <c r="D35" s="799"/>
      <c r="E35" s="22" t="s">
        <v>691</v>
      </c>
      <c r="F35" s="840">
        <v>188.91</v>
      </c>
      <c r="G35" s="790">
        <v>143.55999999999995</v>
      </c>
      <c r="H35" s="799">
        <v>20</v>
      </c>
      <c r="I35" s="790">
        <v>2871.1999999999989</v>
      </c>
      <c r="J35" s="361">
        <v>907.00000000000091</v>
      </c>
      <c r="K35" s="134">
        <v>0.31589579269991691</v>
      </c>
      <c r="L35" s="361">
        <v>1050.0300000000011</v>
      </c>
      <c r="M35" s="29">
        <v>43213</v>
      </c>
      <c r="N35" s="835"/>
      <c r="O35" s="777">
        <v>2.6467630088401885E-3</v>
      </c>
      <c r="P35" s="836">
        <v>5.0000000000000001E-4</v>
      </c>
      <c r="Q35" s="790">
        <v>27.537900874635568</v>
      </c>
      <c r="R35" s="48"/>
      <c r="S35" s="48"/>
      <c r="U35" s="48"/>
    </row>
    <row r="36" spans="1:22" ht="21.95" customHeight="1" x14ac:dyDescent="0.25">
      <c r="A36" s="51"/>
      <c r="B36" s="51"/>
      <c r="C36" s="51"/>
      <c r="D36" s="799"/>
      <c r="E36" s="22" t="s">
        <v>846</v>
      </c>
      <c r="F36" s="840">
        <v>91.4</v>
      </c>
      <c r="G36" s="790">
        <v>79.214333333333315</v>
      </c>
      <c r="H36" s="799">
        <v>30</v>
      </c>
      <c r="I36" s="790">
        <v>2376.4299999999994</v>
      </c>
      <c r="J36" s="361">
        <v>365.57000000000062</v>
      </c>
      <c r="K36" s="134">
        <v>0.15383158771771135</v>
      </c>
      <c r="L36" s="790">
        <v>365.57000000000062</v>
      </c>
      <c r="M36">
        <v>30</v>
      </c>
      <c r="N36" s="835"/>
      <c r="O36" s="777">
        <v>7.4398249452954047E-3</v>
      </c>
      <c r="P36" s="836">
        <v>1.29E-2</v>
      </c>
      <c r="Q36" s="790">
        <v>19.242105263157896</v>
      </c>
      <c r="R36" s="48"/>
      <c r="S36" s="48"/>
      <c r="T36" s="48"/>
      <c r="V36" s="48"/>
    </row>
    <row r="37" spans="1:22" ht="21.95" customHeight="1" x14ac:dyDescent="0.25">
      <c r="A37" s="50"/>
      <c r="B37" s="50"/>
      <c r="C37" s="50"/>
      <c r="D37" s="799"/>
      <c r="E37" s="22" t="s">
        <v>62</v>
      </c>
      <c r="F37" s="834">
        <v>272.39999999999998</v>
      </c>
      <c r="G37" s="790">
        <v>272.39999999999998</v>
      </c>
      <c r="H37" s="756">
        <v>0</v>
      </c>
      <c r="I37" s="790">
        <v>0</v>
      </c>
      <c r="J37" s="361">
        <v>0</v>
      </c>
      <c r="K37" s="134">
        <v>0</v>
      </c>
      <c r="L37" s="361">
        <v>1659.3600000000079</v>
      </c>
      <c r="M37">
        <v>0</v>
      </c>
      <c r="N37" s="835"/>
      <c r="O37" s="777">
        <v>0</v>
      </c>
      <c r="P37" s="836">
        <v>2.2200000000000001E-2</v>
      </c>
      <c r="Q37" s="837"/>
      <c r="S37" s="48"/>
    </row>
    <row r="38" spans="1:22" ht="21.95" customHeight="1" x14ac:dyDescent="0.25">
      <c r="A38" s="50"/>
      <c r="B38" s="50"/>
      <c r="C38" s="51"/>
      <c r="D38" s="799"/>
      <c r="E38" s="22" t="s">
        <v>204</v>
      </c>
      <c r="F38" s="834">
        <v>40.799999999999997</v>
      </c>
      <c r="G38" s="790">
        <v>40.799999999999997</v>
      </c>
      <c r="H38" s="756">
        <v>0</v>
      </c>
      <c r="I38" s="790">
        <v>0</v>
      </c>
      <c r="J38" s="361">
        <v>0</v>
      </c>
      <c r="K38" s="134">
        <v>0</v>
      </c>
      <c r="L38" s="361">
        <v>555.54</v>
      </c>
      <c r="M38">
        <v>0</v>
      </c>
      <c r="N38" s="835"/>
      <c r="O38" s="777">
        <v>0</v>
      </c>
      <c r="P38" s="836">
        <v>1.0200000000000001E-2</v>
      </c>
      <c r="Q38" s="790"/>
      <c r="R38" s="48"/>
      <c r="S38" s="48"/>
      <c r="T38" s="48"/>
    </row>
    <row r="39" spans="1:22" ht="21.95" customHeight="1" x14ac:dyDescent="0.25">
      <c r="A39" s="50"/>
      <c r="B39" s="50"/>
      <c r="C39" s="51"/>
      <c r="D39" s="799"/>
      <c r="E39" s="22" t="s">
        <v>203</v>
      </c>
      <c r="F39" s="834">
        <v>171.61</v>
      </c>
      <c r="G39" s="790">
        <v>171.61</v>
      </c>
      <c r="H39" s="756">
        <v>0</v>
      </c>
      <c r="I39" s="790">
        <v>0</v>
      </c>
      <c r="J39" s="361">
        <v>0</v>
      </c>
      <c r="K39" s="134">
        <v>0</v>
      </c>
      <c r="L39" s="361">
        <v>363.09999999999945</v>
      </c>
      <c r="M39">
        <v>0</v>
      </c>
      <c r="N39" s="835"/>
      <c r="O39" s="777">
        <v>1.5900000000000001E-2</v>
      </c>
      <c r="P39" s="836">
        <v>1.9099999999999999E-2</v>
      </c>
      <c r="Q39" s="837"/>
      <c r="R39" s="48"/>
      <c r="S39" s="48"/>
      <c r="T39" s="48"/>
    </row>
    <row r="40" spans="1:22" ht="21.95" customHeight="1" x14ac:dyDescent="0.25">
      <c r="A40" s="50"/>
      <c r="B40" s="50"/>
      <c r="C40" s="51"/>
      <c r="D40" s="799"/>
      <c r="E40" s="22" t="s">
        <v>226</v>
      </c>
      <c r="F40" s="834">
        <v>93.58</v>
      </c>
      <c r="G40" s="790">
        <v>93.58</v>
      </c>
      <c r="H40" s="799">
        <v>0</v>
      </c>
      <c r="I40" s="790">
        <v>0</v>
      </c>
      <c r="J40" s="361">
        <v>0</v>
      </c>
      <c r="K40" s="134">
        <v>0</v>
      </c>
      <c r="L40" s="361">
        <v>231.53999999999996</v>
      </c>
      <c r="M40">
        <v>0</v>
      </c>
      <c r="N40" s="835"/>
      <c r="O40" s="777">
        <v>1.6199999999999999E-2</v>
      </c>
      <c r="P40" s="836">
        <v>9.1000000000000004E-3</v>
      </c>
      <c r="Q40" s="790"/>
      <c r="R40" s="48"/>
    </row>
    <row r="41" spans="1:22" ht="21.95" customHeight="1" x14ac:dyDescent="0.25">
      <c r="A41" s="50"/>
      <c r="B41" s="50"/>
      <c r="C41" s="51"/>
      <c r="D41" s="799"/>
      <c r="E41" s="22" t="s">
        <v>267</v>
      </c>
      <c r="F41" s="834">
        <v>95</v>
      </c>
      <c r="G41" s="790">
        <v>95</v>
      </c>
      <c r="H41" s="756">
        <v>0</v>
      </c>
      <c r="I41" s="790">
        <v>0</v>
      </c>
      <c r="J41" s="361">
        <v>0</v>
      </c>
      <c r="K41" s="134">
        <v>0</v>
      </c>
      <c r="L41" s="361">
        <v>1857.7799999999988</v>
      </c>
      <c r="M41">
        <v>0</v>
      </c>
      <c r="N41" s="835"/>
      <c r="O41" s="777">
        <v>1.49E-2</v>
      </c>
      <c r="P41" s="836">
        <v>1.8100000000000002E-2</v>
      </c>
      <c r="Q41" s="790"/>
      <c r="R41" s="48"/>
      <c r="S41" s="48"/>
      <c r="T41" s="48"/>
    </row>
    <row r="42" spans="1:22" ht="21.95" customHeight="1" x14ac:dyDescent="0.25">
      <c r="A42" s="50"/>
      <c r="B42" s="50"/>
      <c r="C42" s="51"/>
      <c r="D42" s="799"/>
      <c r="E42" s="22" t="s">
        <v>23</v>
      </c>
      <c r="F42" s="840">
        <v>31.16</v>
      </c>
      <c r="G42" s="790">
        <v>31.16</v>
      </c>
      <c r="H42" s="799">
        <v>0</v>
      </c>
      <c r="I42" s="790">
        <v>0</v>
      </c>
      <c r="J42" s="361">
        <v>0</v>
      </c>
      <c r="K42" s="134">
        <v>0</v>
      </c>
      <c r="L42" s="361">
        <v>171.89999999999964</v>
      </c>
      <c r="M42">
        <v>0</v>
      </c>
      <c r="N42" s="835"/>
      <c r="O42" s="777">
        <v>0</v>
      </c>
      <c r="P42" s="836">
        <v>7.7999999999999996E-3</v>
      </c>
      <c r="Q42" s="790"/>
      <c r="U42" s="48"/>
    </row>
    <row r="43" spans="1:22" ht="21.95" customHeight="1" x14ac:dyDescent="0.25">
      <c r="A43" s="154"/>
      <c r="B43" s="50"/>
      <c r="C43" s="51"/>
      <c r="D43" s="799"/>
      <c r="E43" s="22" t="s">
        <v>268</v>
      </c>
      <c r="F43" s="834">
        <v>36.14</v>
      </c>
      <c r="G43" s="790">
        <v>36.14</v>
      </c>
      <c r="H43" s="799">
        <v>0</v>
      </c>
      <c r="I43" s="790">
        <v>0</v>
      </c>
      <c r="J43" s="361">
        <v>0</v>
      </c>
      <c r="K43" s="134">
        <v>0</v>
      </c>
      <c r="L43" s="361">
        <v>98.449999999999818</v>
      </c>
      <c r="M43">
        <v>0</v>
      </c>
      <c r="N43" s="835"/>
      <c r="O43" s="777">
        <v>1.11E-2</v>
      </c>
      <c r="P43" s="836">
        <v>0</v>
      </c>
      <c r="Q43" s="837"/>
      <c r="R43" s="48"/>
      <c r="S43" s="48"/>
      <c r="T43" s="48"/>
    </row>
    <row r="44" spans="1:22" ht="21.95" customHeight="1" x14ac:dyDescent="0.25">
      <c r="A44" s="50"/>
      <c r="B44" s="50"/>
      <c r="C44" s="51"/>
      <c r="D44" s="799"/>
      <c r="E44" s="22" t="s">
        <v>36</v>
      </c>
      <c r="F44" s="834">
        <v>56.36</v>
      </c>
      <c r="G44" s="790">
        <v>56.36</v>
      </c>
      <c r="H44" s="756">
        <v>0</v>
      </c>
      <c r="I44" s="790">
        <v>0</v>
      </c>
      <c r="J44" s="361">
        <v>0</v>
      </c>
      <c r="K44" s="134">
        <v>0</v>
      </c>
      <c r="L44" s="361">
        <v>117.73999999999978</v>
      </c>
      <c r="M44">
        <v>0</v>
      </c>
      <c r="N44" s="835"/>
      <c r="O44" s="777">
        <v>7.4000000000000003E-3</v>
      </c>
      <c r="P44" s="836">
        <v>7.0000000000000001E-3</v>
      </c>
      <c r="Q44" s="790"/>
      <c r="S44" s="48"/>
      <c r="U44" s="48"/>
    </row>
    <row r="45" spans="1:22" ht="21.95" customHeight="1" x14ac:dyDescent="0.25">
      <c r="A45" s="50"/>
      <c r="B45" s="50"/>
      <c r="C45" s="51"/>
      <c r="D45" s="799"/>
      <c r="E45" s="22" t="s">
        <v>316</v>
      </c>
      <c r="F45" s="834">
        <v>41.48</v>
      </c>
      <c r="G45" s="790">
        <v>41.48</v>
      </c>
      <c r="H45" s="799">
        <v>0</v>
      </c>
      <c r="I45" s="790">
        <v>0</v>
      </c>
      <c r="J45" s="361">
        <v>0</v>
      </c>
      <c r="K45" s="134">
        <v>0</v>
      </c>
      <c r="L45" s="361">
        <v>264.92000000000007</v>
      </c>
      <c r="M45">
        <v>0</v>
      </c>
      <c r="N45" s="835"/>
      <c r="O45" s="777">
        <v>3.4200000000000001E-2</v>
      </c>
      <c r="P45" s="836">
        <v>1.0999999999999999E-2</v>
      </c>
      <c r="Q45" s="837"/>
      <c r="R45" s="48"/>
      <c r="S45" s="48"/>
      <c r="T45" s="48"/>
    </row>
    <row r="46" spans="1:22" ht="21.95" customHeight="1" x14ac:dyDescent="0.25">
      <c r="A46" s="51"/>
      <c r="B46" s="50"/>
      <c r="C46" s="51"/>
      <c r="D46" s="799"/>
      <c r="E46" s="22" t="s">
        <v>300</v>
      </c>
      <c r="F46" s="834">
        <v>62.98</v>
      </c>
      <c r="G46" s="790">
        <v>62.98</v>
      </c>
      <c r="H46" s="756">
        <v>0</v>
      </c>
      <c r="I46" s="790">
        <v>0</v>
      </c>
      <c r="J46" s="361">
        <v>0</v>
      </c>
      <c r="K46" s="134">
        <v>0</v>
      </c>
      <c r="L46" s="361">
        <v>910.79999999999927</v>
      </c>
      <c r="M46">
        <v>0</v>
      </c>
      <c r="N46" s="835"/>
      <c r="O46" s="777">
        <v>2.87E-2</v>
      </c>
      <c r="P46" s="836">
        <v>3.3E-3</v>
      </c>
      <c r="Q46" s="790"/>
      <c r="R46" s="48"/>
      <c r="S46" s="48"/>
      <c r="T46" s="48"/>
    </row>
    <row r="47" spans="1:22" ht="21.95" customHeight="1" x14ac:dyDescent="0.25">
      <c r="A47" s="51"/>
      <c r="B47" s="51"/>
      <c r="C47" s="51"/>
      <c r="D47" s="799"/>
      <c r="E47" s="22" t="s">
        <v>705</v>
      </c>
      <c r="F47" s="834">
        <v>31.88</v>
      </c>
      <c r="G47" s="790">
        <v>31.88</v>
      </c>
      <c r="H47" s="799">
        <v>0</v>
      </c>
      <c r="I47" s="790">
        <v>0</v>
      </c>
      <c r="J47" s="361">
        <v>0</v>
      </c>
      <c r="K47" s="134">
        <v>0</v>
      </c>
      <c r="L47" s="361">
        <v>557.94000000000005</v>
      </c>
      <c r="M47">
        <v>0</v>
      </c>
      <c r="N47" s="835"/>
      <c r="O47" s="777">
        <v>4.0599999999999997E-2</v>
      </c>
      <c r="P47" s="836">
        <v>2.23E-2</v>
      </c>
      <c r="Q47" s="837"/>
      <c r="R47" s="48"/>
      <c r="S47" s="48"/>
      <c r="T47" s="48"/>
    </row>
    <row r="48" spans="1:22" ht="21.95" customHeight="1" x14ac:dyDescent="0.25">
      <c r="A48" s="50"/>
      <c r="B48" s="51"/>
      <c r="C48" s="51"/>
      <c r="D48" s="799"/>
      <c r="E48" s="22" t="s">
        <v>249</v>
      </c>
      <c r="F48" s="834">
        <v>70.41</v>
      </c>
      <c r="G48" s="790">
        <v>70.41</v>
      </c>
      <c r="H48" s="799">
        <v>0</v>
      </c>
      <c r="I48" s="790">
        <v>0</v>
      </c>
      <c r="J48" s="361">
        <v>0</v>
      </c>
      <c r="K48" s="134">
        <v>0</v>
      </c>
      <c r="L48" s="361">
        <v>329.74000000000069</v>
      </c>
      <c r="M48">
        <v>0</v>
      </c>
      <c r="N48" s="835"/>
      <c r="O48" s="777">
        <v>0</v>
      </c>
      <c r="P48" s="836">
        <v>4.1000000000000003E-3</v>
      </c>
      <c r="Q48" s="790"/>
      <c r="R48" s="48"/>
      <c r="S48" s="48"/>
    </row>
    <row r="49" spans="1:21" ht="21.95" customHeight="1" x14ac:dyDescent="0.25">
      <c r="A49" s="51"/>
      <c r="B49" s="51"/>
      <c r="C49" s="51"/>
      <c r="D49" s="799"/>
      <c r="E49" s="22" t="s">
        <v>682</v>
      </c>
      <c r="F49" s="834">
        <v>22.63</v>
      </c>
      <c r="G49" s="790">
        <v>22.63</v>
      </c>
      <c r="H49" s="756">
        <v>0</v>
      </c>
      <c r="I49" s="790">
        <v>0</v>
      </c>
      <c r="J49" s="361">
        <v>0</v>
      </c>
      <c r="K49" s="134">
        <v>0</v>
      </c>
      <c r="L49" s="361">
        <v>309.26000000000022</v>
      </c>
      <c r="M49">
        <v>0</v>
      </c>
      <c r="N49" s="835"/>
      <c r="O49" s="777">
        <v>8.8000000000000005E-3</v>
      </c>
      <c r="P49" s="836">
        <v>1.2500000000000001E-2</v>
      </c>
      <c r="Q49" s="790"/>
      <c r="R49" s="48"/>
      <c r="S49" s="48"/>
    </row>
    <row r="50" spans="1:21" ht="21.95" customHeight="1" x14ac:dyDescent="0.25">
      <c r="A50" s="50"/>
      <c r="B50" s="50"/>
      <c r="C50" s="51"/>
      <c r="D50" s="799"/>
      <c r="E50" s="22" t="s">
        <v>276</v>
      </c>
      <c r="F50" s="834">
        <v>64.28</v>
      </c>
      <c r="G50" s="790">
        <v>64.28</v>
      </c>
      <c r="H50" s="756">
        <v>0</v>
      </c>
      <c r="I50" s="790">
        <v>0</v>
      </c>
      <c r="J50" s="361">
        <v>0</v>
      </c>
      <c r="K50" s="134">
        <v>0</v>
      </c>
      <c r="L50" s="361">
        <v>197.20999999999549</v>
      </c>
      <c r="M50">
        <v>0</v>
      </c>
      <c r="N50" s="835"/>
      <c r="O50" s="777">
        <v>2.5499999999999998E-2</v>
      </c>
      <c r="P50" s="836">
        <v>2.7300000000000001E-2</v>
      </c>
      <c r="Q50" s="790"/>
      <c r="R50" s="48"/>
      <c r="S50" s="48"/>
      <c r="T50" s="48"/>
    </row>
    <row r="51" spans="1:21" ht="21.95" customHeight="1" x14ac:dyDescent="0.25">
      <c r="A51" s="50"/>
      <c r="B51" s="51"/>
      <c r="C51" s="51"/>
      <c r="D51" s="799"/>
      <c r="E51" s="22" t="s">
        <v>750</v>
      </c>
      <c r="F51" s="842">
        <v>225.05</v>
      </c>
      <c r="G51" s="790">
        <v>225.05</v>
      </c>
      <c r="H51" s="756">
        <v>0</v>
      </c>
      <c r="I51" s="790">
        <v>0</v>
      </c>
      <c r="J51" s="361">
        <v>0</v>
      </c>
      <c r="K51" s="134">
        <v>0</v>
      </c>
      <c r="L51" s="361">
        <v>843.18000000000029</v>
      </c>
      <c r="M51">
        <v>0</v>
      </c>
      <c r="N51" s="835"/>
      <c r="O51" s="777">
        <v>2.8E-3</v>
      </c>
      <c r="P51" s="836">
        <v>4.2200000000000001E-2</v>
      </c>
      <c r="Q51" s="837"/>
      <c r="R51" s="48"/>
      <c r="S51" s="48"/>
      <c r="T51" s="48"/>
    </row>
    <row r="52" spans="1:21" ht="21.95" customHeight="1" x14ac:dyDescent="0.25">
      <c r="A52" s="60"/>
      <c r="B52" s="61"/>
      <c r="C52" s="60"/>
      <c r="D52" s="799"/>
      <c r="E52" s="22" t="s">
        <v>197</v>
      </c>
      <c r="F52" s="834">
        <v>11.33</v>
      </c>
      <c r="G52" s="790">
        <v>11.33</v>
      </c>
      <c r="H52" s="799">
        <v>0</v>
      </c>
      <c r="I52" s="790">
        <v>0</v>
      </c>
      <c r="J52" s="361">
        <v>0</v>
      </c>
      <c r="K52" s="134">
        <v>0</v>
      </c>
      <c r="L52" s="361">
        <v>495.20999999999913</v>
      </c>
      <c r="M52">
        <v>0</v>
      </c>
      <c r="N52" s="835"/>
      <c r="O52" s="777">
        <v>5.1499999999999997E-2</v>
      </c>
      <c r="P52" s="836">
        <v>1.52E-2</v>
      </c>
      <c r="Q52" s="790"/>
      <c r="R52" s="48"/>
      <c r="S52" s="48"/>
    </row>
    <row r="53" spans="1:21" ht="21.95" customHeight="1" x14ac:dyDescent="0.25">
      <c r="A53" s="50"/>
      <c r="B53" s="50"/>
      <c r="C53" s="51"/>
      <c r="D53" s="799"/>
      <c r="E53" s="22" t="s">
        <v>271</v>
      </c>
      <c r="F53" s="834">
        <v>130.41</v>
      </c>
      <c r="G53" s="790">
        <v>130.41</v>
      </c>
      <c r="H53" s="756">
        <v>0</v>
      </c>
      <c r="I53" s="790">
        <v>0</v>
      </c>
      <c r="J53" s="361">
        <v>0</v>
      </c>
      <c r="K53" s="134">
        <v>0</v>
      </c>
      <c r="L53" s="361">
        <v>154.77999999999975</v>
      </c>
      <c r="M53">
        <v>0</v>
      </c>
      <c r="N53" s="835"/>
      <c r="O53" s="777">
        <v>2.5700000000000001E-2</v>
      </c>
      <c r="P53" s="836">
        <v>1.6E-2</v>
      </c>
      <c r="Q53" s="790"/>
      <c r="R53" s="48"/>
      <c r="S53" s="48"/>
      <c r="T53" s="48"/>
    </row>
    <row r="54" spans="1:21" ht="21.95" customHeight="1" x14ac:dyDescent="0.25">
      <c r="A54" s="50"/>
      <c r="B54" s="50"/>
      <c r="C54" s="51"/>
      <c r="D54" s="799"/>
      <c r="E54" s="22" t="s">
        <v>17</v>
      </c>
      <c r="F54" s="834">
        <v>15.25</v>
      </c>
      <c r="G54" s="790">
        <v>15.25</v>
      </c>
      <c r="H54" s="756">
        <v>0</v>
      </c>
      <c r="I54" s="790">
        <v>0</v>
      </c>
      <c r="J54" s="361">
        <v>-20818.210000000079</v>
      </c>
      <c r="K54" s="134">
        <v>0</v>
      </c>
      <c r="L54" s="790">
        <v>-20818.210000000079</v>
      </c>
      <c r="M54">
        <v>0</v>
      </c>
      <c r="N54" s="835"/>
      <c r="O54" s="777">
        <v>0</v>
      </c>
      <c r="P54" s="836">
        <v>0</v>
      </c>
      <c r="Q54" s="837"/>
      <c r="R54" s="48"/>
      <c r="S54" s="48"/>
    </row>
    <row r="55" spans="1:21" ht="21.95" customHeight="1" x14ac:dyDescent="0.25">
      <c r="A55" s="50"/>
      <c r="B55" s="50"/>
      <c r="C55" s="51"/>
      <c r="D55" s="799"/>
      <c r="E55" s="22" t="s">
        <v>309</v>
      </c>
      <c r="F55" s="834">
        <v>138.76</v>
      </c>
      <c r="G55" s="790">
        <v>138.76</v>
      </c>
      <c r="H55" s="799">
        <v>0</v>
      </c>
      <c r="I55" s="790">
        <v>0</v>
      </c>
      <c r="J55" s="361">
        <v>0</v>
      </c>
      <c r="K55" s="134">
        <v>0</v>
      </c>
      <c r="L55" s="361">
        <v>720.56000000000131</v>
      </c>
      <c r="M55">
        <v>0</v>
      </c>
      <c r="N55" s="835"/>
      <c r="O55" s="777">
        <v>0</v>
      </c>
      <c r="P55" s="836">
        <v>1.4800000000000001E-2</v>
      </c>
      <c r="Q55" s="790"/>
      <c r="R55" s="48"/>
      <c r="S55" s="48"/>
      <c r="T55" s="48"/>
    </row>
    <row r="56" spans="1:21" ht="21.95" customHeight="1" x14ac:dyDescent="0.25">
      <c r="A56" s="50"/>
      <c r="B56" s="50"/>
      <c r="C56" s="51"/>
      <c r="D56" s="799"/>
      <c r="E56" s="22" t="s">
        <v>703</v>
      </c>
      <c r="F56" s="834">
        <v>83.97</v>
      </c>
      <c r="G56" s="790">
        <v>83.97</v>
      </c>
      <c r="H56" s="756">
        <v>0</v>
      </c>
      <c r="I56" s="790">
        <v>0</v>
      </c>
      <c r="J56" s="361">
        <v>0</v>
      </c>
      <c r="K56" s="134">
        <v>0</v>
      </c>
      <c r="L56" s="790">
        <v>329.55999999999949</v>
      </c>
      <c r="M56">
        <v>0</v>
      </c>
      <c r="N56" s="835"/>
      <c r="O56" s="777">
        <v>1.78E-2</v>
      </c>
      <c r="P56" s="836">
        <v>1.9900000000000001E-2</v>
      </c>
      <c r="Q56" s="790"/>
      <c r="R56" s="48"/>
      <c r="S56" s="48"/>
      <c r="T56" s="48"/>
    </row>
    <row r="57" spans="1:21" ht="21.95" customHeight="1" x14ac:dyDescent="0.25">
      <c r="A57" s="51"/>
      <c r="B57" s="154"/>
      <c r="C57" s="328"/>
      <c r="D57" s="799"/>
      <c r="E57" s="22" t="s">
        <v>748</v>
      </c>
      <c r="F57" s="834">
        <v>628.65</v>
      </c>
      <c r="G57" s="790">
        <v>628.65</v>
      </c>
      <c r="H57" s="799">
        <v>0</v>
      </c>
      <c r="I57" s="790">
        <v>0</v>
      </c>
      <c r="J57" s="361">
        <v>0</v>
      </c>
      <c r="K57" s="134">
        <v>0</v>
      </c>
      <c r="L57" s="361">
        <v>559.89000000000033</v>
      </c>
      <c r="M57">
        <v>0</v>
      </c>
      <c r="N57" s="835"/>
      <c r="O57" s="777">
        <v>0</v>
      </c>
      <c r="P57" s="836">
        <v>1.52E-2</v>
      </c>
      <c r="Q57" s="790"/>
      <c r="R57" s="48"/>
      <c r="S57" s="48"/>
      <c r="T57" s="48"/>
    </row>
    <row r="58" spans="1:21" ht="21.95" customHeight="1" x14ac:dyDescent="0.25">
      <c r="A58" s="50"/>
      <c r="B58" s="50"/>
      <c r="C58" s="51"/>
      <c r="D58" s="799"/>
      <c r="E58" s="22" t="s">
        <v>195</v>
      </c>
      <c r="F58" s="834">
        <v>68.42</v>
      </c>
      <c r="G58" s="790">
        <v>68.42</v>
      </c>
      <c r="H58" s="799">
        <v>0</v>
      </c>
      <c r="I58" s="790">
        <v>0</v>
      </c>
      <c r="J58" s="361">
        <v>0</v>
      </c>
      <c r="K58" s="134">
        <v>0</v>
      </c>
      <c r="L58" s="790">
        <v>785.90999999999985</v>
      </c>
      <c r="M58">
        <v>0</v>
      </c>
      <c r="N58" s="835"/>
      <c r="O58" s="777">
        <v>1.29E-2</v>
      </c>
      <c r="P58" s="836">
        <v>2.58E-2</v>
      </c>
      <c r="Q58" s="790"/>
      <c r="S58" s="48"/>
    </row>
    <row r="59" spans="1:21" ht="21.95" customHeight="1" x14ac:dyDescent="0.25">
      <c r="A59" s="51"/>
      <c r="B59" s="51"/>
      <c r="C59" s="51"/>
      <c r="D59" s="799"/>
      <c r="E59" s="22" t="s">
        <v>225</v>
      </c>
      <c r="F59" s="834">
        <v>57.9</v>
      </c>
      <c r="G59" s="790">
        <v>57.9</v>
      </c>
      <c r="H59" s="841">
        <v>0</v>
      </c>
      <c r="I59" s="790">
        <v>0</v>
      </c>
      <c r="J59" s="361">
        <v>0</v>
      </c>
      <c r="K59" s="134">
        <v>0</v>
      </c>
      <c r="L59" s="361">
        <v>257.64999999999964</v>
      </c>
      <c r="M59">
        <v>0</v>
      </c>
      <c r="N59" s="835"/>
      <c r="O59" s="777">
        <v>0</v>
      </c>
      <c r="P59" s="836">
        <v>1.9E-3</v>
      </c>
      <c r="Q59" s="790"/>
      <c r="S59" s="48"/>
      <c r="T59" s="48"/>
    </row>
    <row r="60" spans="1:21" ht="21.95" customHeight="1" x14ac:dyDescent="0.25">
      <c r="A60" s="50"/>
      <c r="B60" s="50"/>
      <c r="C60" s="51"/>
      <c r="D60" s="799"/>
      <c r="E60" s="22" t="s">
        <v>841</v>
      </c>
      <c r="F60" s="834">
        <v>325.83999999999997</v>
      </c>
      <c r="G60" s="790">
        <v>325.83999999999997</v>
      </c>
      <c r="H60" s="756">
        <v>0</v>
      </c>
      <c r="I60" s="790">
        <v>0</v>
      </c>
      <c r="J60" s="361">
        <v>0</v>
      </c>
      <c r="K60" s="134">
        <v>0</v>
      </c>
      <c r="L60" s="790">
        <v>1264.8599999999997</v>
      </c>
      <c r="M60">
        <v>0</v>
      </c>
      <c r="N60" s="839"/>
      <c r="O60" s="777">
        <v>0</v>
      </c>
      <c r="P60" s="836">
        <v>2.8799999999999999E-2</v>
      </c>
      <c r="Q60" s="790"/>
      <c r="R60" s="48"/>
      <c r="S60" s="48"/>
      <c r="T60" s="48"/>
    </row>
    <row r="61" spans="1:21" ht="21.95" customHeight="1" x14ac:dyDescent="0.25">
      <c r="A61" s="51"/>
      <c r="B61" s="51"/>
      <c r="C61" s="51"/>
      <c r="D61" s="799"/>
      <c r="E61" s="22" t="s">
        <v>34</v>
      </c>
      <c r="F61" s="834">
        <v>53.39</v>
      </c>
      <c r="G61" s="790">
        <v>53.39</v>
      </c>
      <c r="H61" s="756">
        <v>0</v>
      </c>
      <c r="I61" s="790">
        <v>0</v>
      </c>
      <c r="J61" s="361">
        <v>0</v>
      </c>
      <c r="K61" s="134">
        <v>0</v>
      </c>
      <c r="L61" s="361">
        <v>21137.586999999941</v>
      </c>
      <c r="M61">
        <v>0</v>
      </c>
      <c r="N61" s="835"/>
      <c r="O61" s="777">
        <v>0</v>
      </c>
      <c r="P61" s="836">
        <v>3.5700000000000003E-2</v>
      </c>
      <c r="Q61" s="837"/>
      <c r="R61" s="48"/>
      <c r="S61" s="48"/>
    </row>
    <row r="62" spans="1:21" ht="21.95" customHeight="1" x14ac:dyDescent="0.25">
      <c r="A62" s="50"/>
      <c r="B62" s="50"/>
      <c r="C62" s="51"/>
      <c r="D62" s="799"/>
      <c r="E62" s="22" t="s">
        <v>172</v>
      </c>
      <c r="F62" s="834">
        <v>53.17</v>
      </c>
      <c r="G62" s="790">
        <v>53.17</v>
      </c>
      <c r="H62" s="756">
        <v>0</v>
      </c>
      <c r="I62" s="790">
        <v>0</v>
      </c>
      <c r="J62" s="361">
        <v>0</v>
      </c>
      <c r="K62" s="134">
        <v>0</v>
      </c>
      <c r="L62" s="790">
        <v>119.92000000000053</v>
      </c>
      <c r="M62">
        <v>0</v>
      </c>
      <c r="N62" s="835"/>
      <c r="O62" s="777">
        <v>3.6400000000000002E-2</v>
      </c>
      <c r="P62" s="836">
        <v>1.26E-2</v>
      </c>
      <c r="Q62" s="837"/>
      <c r="R62" s="48"/>
      <c r="S62" s="48"/>
      <c r="T62" s="48"/>
      <c r="U62" s="48"/>
    </row>
    <row r="63" spans="1:21" ht="21.95" customHeight="1" x14ac:dyDescent="0.25">
      <c r="A63" s="50"/>
      <c r="B63" s="50"/>
      <c r="C63" s="51"/>
      <c r="D63" s="799"/>
      <c r="E63" s="22" t="s">
        <v>27</v>
      </c>
      <c r="F63" s="834">
        <v>49.99</v>
      </c>
      <c r="G63" s="790">
        <v>49.99</v>
      </c>
      <c r="H63" s="799">
        <v>0</v>
      </c>
      <c r="I63" s="790">
        <v>0</v>
      </c>
      <c r="J63" s="361">
        <v>0</v>
      </c>
      <c r="K63" s="134">
        <v>0</v>
      </c>
      <c r="L63" s="361">
        <v>1407.5400000000009</v>
      </c>
      <c r="M63">
        <v>0</v>
      </c>
      <c r="N63" s="835"/>
      <c r="O63" s="777">
        <v>3.0200000000000001E-2</v>
      </c>
      <c r="P63" s="836">
        <v>4.7999999999999996E-3</v>
      </c>
      <c r="Q63" s="837"/>
      <c r="R63" s="48"/>
      <c r="S63" s="48"/>
      <c r="T63" s="348"/>
      <c r="U63" s="348"/>
    </row>
    <row r="64" spans="1:21" ht="21.95" customHeight="1" x14ac:dyDescent="0.25">
      <c r="A64" s="50"/>
      <c r="B64" s="50"/>
      <c r="C64" s="51"/>
      <c r="D64" s="799"/>
      <c r="E64" s="22" t="s">
        <v>22</v>
      </c>
      <c r="F64" s="834">
        <v>51.01</v>
      </c>
      <c r="G64" s="790">
        <v>51.01</v>
      </c>
      <c r="H64" s="756">
        <v>0</v>
      </c>
      <c r="I64" s="790">
        <v>0</v>
      </c>
      <c r="J64" s="361">
        <v>0</v>
      </c>
      <c r="K64" s="134">
        <v>0</v>
      </c>
      <c r="L64" s="361">
        <v>3178.8000000000466</v>
      </c>
      <c r="M64">
        <v>0</v>
      </c>
      <c r="N64" s="835"/>
      <c r="O64" s="777">
        <v>2.07E-2</v>
      </c>
      <c r="P64" s="836">
        <v>1.11E-2</v>
      </c>
      <c r="Q64" s="790"/>
      <c r="R64" s="48"/>
      <c r="S64" s="48"/>
    </row>
    <row r="65" spans="1:21" ht="21.95" customHeight="1" x14ac:dyDescent="0.25">
      <c r="A65" s="51"/>
      <c r="B65" s="51"/>
      <c r="C65" s="51"/>
      <c r="D65" s="799"/>
      <c r="E65" s="22" t="s">
        <v>42</v>
      </c>
      <c r="F65" s="834">
        <v>132.9</v>
      </c>
      <c r="G65" s="790">
        <v>132.9</v>
      </c>
      <c r="H65" s="799">
        <v>0</v>
      </c>
      <c r="I65" s="790">
        <v>0</v>
      </c>
      <c r="J65" s="361">
        <v>0</v>
      </c>
      <c r="K65" s="134">
        <v>0</v>
      </c>
      <c r="L65" s="361">
        <v>128.08999999999833</v>
      </c>
      <c r="M65">
        <v>0</v>
      </c>
      <c r="N65" s="835"/>
      <c r="O65" s="777">
        <v>2.18E-2</v>
      </c>
      <c r="P65" s="836">
        <v>-1.0699999999999999E-2</v>
      </c>
      <c r="Q65" s="837"/>
      <c r="R65" s="48"/>
      <c r="S65" s="48"/>
    </row>
    <row r="66" spans="1:21" ht="21.95" customHeight="1" x14ac:dyDescent="0.25">
      <c r="A66" s="50"/>
      <c r="B66" s="51"/>
      <c r="C66" s="51"/>
      <c r="D66" s="799"/>
      <c r="E66" s="22" t="s">
        <v>269</v>
      </c>
      <c r="F66" s="834">
        <v>53.04</v>
      </c>
      <c r="G66" s="790">
        <v>53.04</v>
      </c>
      <c r="H66" s="799">
        <v>0</v>
      </c>
      <c r="I66" s="790">
        <v>0</v>
      </c>
      <c r="J66" s="361">
        <v>0</v>
      </c>
      <c r="K66" s="134">
        <v>0</v>
      </c>
      <c r="L66" s="361">
        <v>427.92000000000007</v>
      </c>
      <c r="M66">
        <v>0</v>
      </c>
      <c r="N66" s="835"/>
      <c r="O66" s="777">
        <v>0</v>
      </c>
      <c r="P66" s="836">
        <v>1.24E-2</v>
      </c>
      <c r="Q66" s="790"/>
      <c r="R66" s="48"/>
      <c r="S66" s="48"/>
    </row>
    <row r="67" spans="1:21" ht="21.95" customHeight="1" x14ac:dyDescent="0.25">
      <c r="A67" s="50"/>
      <c r="B67" s="50"/>
      <c r="C67" s="51"/>
      <c r="D67" s="799"/>
      <c r="E67" s="22" t="s">
        <v>170</v>
      </c>
      <c r="F67" s="834">
        <v>99.63</v>
      </c>
      <c r="G67" s="790">
        <v>99.63</v>
      </c>
      <c r="H67" s="799">
        <v>0</v>
      </c>
      <c r="I67" s="790">
        <v>0</v>
      </c>
      <c r="J67" s="361">
        <v>0</v>
      </c>
      <c r="K67" s="134">
        <v>0</v>
      </c>
      <c r="L67" s="361">
        <v>1368.9000000000015</v>
      </c>
      <c r="M67">
        <v>0</v>
      </c>
      <c r="N67" s="835"/>
      <c r="O67" s="777">
        <v>1.14E-2</v>
      </c>
      <c r="P67" s="836">
        <v>2.0500000000000001E-2</v>
      </c>
      <c r="Q67" s="790"/>
    </row>
    <row r="68" spans="1:21" ht="21.95" customHeight="1" x14ac:dyDescent="0.25">
      <c r="A68" s="51"/>
      <c r="B68" s="51"/>
      <c r="C68" s="51"/>
      <c r="D68" s="799"/>
      <c r="E68" s="22" t="s">
        <v>8</v>
      </c>
      <c r="F68" s="834">
        <v>73.709999999999994</v>
      </c>
      <c r="G68" s="790">
        <v>73.709999999999994</v>
      </c>
      <c r="H68" s="799">
        <v>0</v>
      </c>
      <c r="I68" s="790">
        <v>0</v>
      </c>
      <c r="J68" s="361">
        <v>0</v>
      </c>
      <c r="K68" s="134">
        <v>0</v>
      </c>
      <c r="L68" s="361">
        <v>121.94999999999982</v>
      </c>
      <c r="M68">
        <v>0</v>
      </c>
      <c r="N68" s="835"/>
      <c r="O68" s="777">
        <v>1.67E-2</v>
      </c>
      <c r="P68" s="836">
        <v>3.7000000000000002E-3</v>
      </c>
      <c r="Q68" s="790"/>
      <c r="S68" s="48"/>
    </row>
    <row r="69" spans="1:21" ht="21.95" customHeight="1" x14ac:dyDescent="0.25">
      <c r="A69" s="50"/>
      <c r="B69" s="50"/>
      <c r="C69" s="51"/>
      <c r="D69" s="799"/>
      <c r="E69" s="22" t="s">
        <v>10</v>
      </c>
      <c r="F69" s="834">
        <v>46.92</v>
      </c>
      <c r="G69" s="790">
        <v>46.92</v>
      </c>
      <c r="H69" s="756">
        <v>0</v>
      </c>
      <c r="I69" s="790">
        <v>0</v>
      </c>
      <c r="J69" s="361">
        <v>0</v>
      </c>
      <c r="K69" s="134">
        <v>0</v>
      </c>
      <c r="L69" s="361">
        <v>1128.3800000000047</v>
      </c>
      <c r="M69">
        <v>0</v>
      </c>
      <c r="N69" s="835"/>
      <c r="O69" s="777">
        <v>1.2500000000000001E-2</v>
      </c>
      <c r="P69" s="836">
        <v>3.4599999999999999E-2</v>
      </c>
      <c r="Q69" s="790"/>
    </row>
    <row r="70" spans="1:21" ht="21.95" customHeight="1" x14ac:dyDescent="0.25">
      <c r="A70" s="50"/>
      <c r="B70" s="50"/>
      <c r="C70" s="50"/>
      <c r="D70" s="799"/>
      <c r="E70" s="22" t="s">
        <v>224</v>
      </c>
      <c r="F70" s="834">
        <v>37.11</v>
      </c>
      <c r="G70" s="790">
        <v>37.11</v>
      </c>
      <c r="H70" s="799">
        <v>0</v>
      </c>
      <c r="I70" s="790">
        <v>0</v>
      </c>
      <c r="J70" s="361">
        <v>0</v>
      </c>
      <c r="K70" s="134">
        <v>0</v>
      </c>
      <c r="L70" s="361">
        <v>4376.9599999999991</v>
      </c>
      <c r="M70">
        <v>0</v>
      </c>
      <c r="N70" s="839"/>
      <c r="O70" s="777">
        <v>4.0899999999999999E-2</v>
      </c>
      <c r="P70" s="836">
        <v>3.8E-3</v>
      </c>
      <c r="Q70" s="790"/>
    </row>
    <row r="71" spans="1:21" ht="21.95" customHeight="1" x14ac:dyDescent="0.25">
      <c r="A71" s="50"/>
      <c r="B71" s="50"/>
      <c r="C71" s="51"/>
      <c r="D71" s="799"/>
      <c r="E71" s="22" t="s">
        <v>24</v>
      </c>
      <c r="F71" s="834">
        <v>64.31</v>
      </c>
      <c r="G71" s="790">
        <v>64.31</v>
      </c>
      <c r="H71" s="799">
        <v>0</v>
      </c>
      <c r="I71" s="790">
        <v>0</v>
      </c>
      <c r="J71" s="361">
        <v>0</v>
      </c>
      <c r="K71" s="134">
        <v>0</v>
      </c>
      <c r="L71" s="361">
        <v>937.36999999999534</v>
      </c>
      <c r="M71">
        <v>0</v>
      </c>
      <c r="N71" s="835"/>
      <c r="O71" s="777">
        <v>0</v>
      </c>
      <c r="P71" s="836">
        <v>2.3599999999999999E-2</v>
      </c>
      <c r="Q71" s="790"/>
      <c r="U71" s="48"/>
    </row>
    <row r="72" spans="1:21" ht="21.95" customHeight="1" x14ac:dyDescent="0.25">
      <c r="A72" s="50"/>
      <c r="B72" s="51"/>
      <c r="C72" s="51"/>
      <c r="D72" s="799"/>
      <c r="E72" s="22" t="s">
        <v>45</v>
      </c>
      <c r="F72" s="834">
        <v>96.53</v>
      </c>
      <c r="G72" s="790">
        <v>96.53</v>
      </c>
      <c r="H72" s="799">
        <v>0</v>
      </c>
      <c r="I72" s="790">
        <v>0</v>
      </c>
      <c r="J72" s="361">
        <v>0</v>
      </c>
      <c r="K72" s="134">
        <v>0</v>
      </c>
      <c r="L72" s="361">
        <v>523.61999999999898</v>
      </c>
      <c r="M72">
        <v>0</v>
      </c>
      <c r="N72" s="835"/>
      <c r="O72" s="777">
        <v>1.67E-2</v>
      </c>
      <c r="P72" s="836">
        <v>1.4800000000000001E-2</v>
      </c>
      <c r="Q72" s="790"/>
      <c r="R72" s="48"/>
      <c r="S72" s="48"/>
      <c r="T72" s="48"/>
      <c r="U72" s="48"/>
    </row>
    <row r="73" spans="1:21" ht="21.95" customHeight="1" x14ac:dyDescent="0.25">
      <c r="A73" s="50"/>
      <c r="B73" s="50"/>
      <c r="C73" s="50"/>
      <c r="D73" s="799"/>
      <c r="E73" s="22" t="s">
        <v>47</v>
      </c>
      <c r="F73" s="834">
        <v>131.97999999999999</v>
      </c>
      <c r="G73" s="790">
        <v>131.97999999999999</v>
      </c>
      <c r="H73" s="756">
        <v>0</v>
      </c>
      <c r="I73" s="790">
        <v>0</v>
      </c>
      <c r="J73" s="361">
        <v>0</v>
      </c>
      <c r="K73" s="134">
        <v>0</v>
      </c>
      <c r="L73" s="361">
        <v>-168.6200000000008</v>
      </c>
      <c r="M73">
        <v>0</v>
      </c>
      <c r="N73" s="835"/>
      <c r="O73" s="777">
        <v>2.18E-2</v>
      </c>
      <c r="P73" s="134">
        <v>-1.06E-2</v>
      </c>
      <c r="Q73" s="790"/>
    </row>
    <row r="74" spans="1:21" ht="21.95" customHeight="1" x14ac:dyDescent="0.25">
      <c r="A74" s="50"/>
      <c r="B74" s="50"/>
      <c r="C74" s="51"/>
      <c r="D74" s="799"/>
      <c r="E74" s="22" t="s">
        <v>33</v>
      </c>
      <c r="F74" s="834">
        <v>236.99</v>
      </c>
      <c r="G74" s="790">
        <v>236.99</v>
      </c>
      <c r="H74" s="756">
        <v>0</v>
      </c>
      <c r="I74" s="790">
        <v>0</v>
      </c>
      <c r="J74" s="361">
        <v>0</v>
      </c>
      <c r="K74" s="134">
        <v>0</v>
      </c>
      <c r="L74" s="790">
        <v>780.73999999999796</v>
      </c>
      <c r="M74">
        <v>0</v>
      </c>
      <c r="N74" s="835"/>
      <c r="O74" s="777">
        <v>1.8599999999999998E-2</v>
      </c>
      <c r="P74" s="836">
        <v>8.9999999999999998E-4</v>
      </c>
      <c r="Q74" s="790"/>
    </row>
    <row r="75" spans="1:21" ht="21.95" customHeight="1" x14ac:dyDescent="0.25">
      <c r="A75" s="50"/>
      <c r="B75" s="51"/>
      <c r="C75" s="51"/>
      <c r="D75" s="799"/>
      <c r="E75" s="22" t="s">
        <v>13</v>
      </c>
      <c r="F75" s="834">
        <v>69.989999999999995</v>
      </c>
      <c r="G75" s="790">
        <v>69.989999999999995</v>
      </c>
      <c r="H75" s="799">
        <v>0</v>
      </c>
      <c r="I75" s="790">
        <v>0</v>
      </c>
      <c r="J75" s="361">
        <v>0</v>
      </c>
      <c r="K75" s="134">
        <v>0</v>
      </c>
      <c r="L75" s="361">
        <v>1461.5600000000013</v>
      </c>
      <c r="M75">
        <v>0</v>
      </c>
      <c r="N75" s="835"/>
      <c r="O75" s="777">
        <v>0</v>
      </c>
      <c r="P75" s="836">
        <v>1.0800000000000001E-2</v>
      </c>
      <c r="Q75" s="790"/>
    </row>
    <row r="76" spans="1:21" ht="21.95" customHeight="1" x14ac:dyDescent="0.25">
      <c r="A76" s="50"/>
      <c r="B76" s="51"/>
      <c r="C76" s="51"/>
      <c r="D76" s="799"/>
      <c r="E76" s="22" t="s">
        <v>52</v>
      </c>
      <c r="F76" s="834">
        <v>62.94</v>
      </c>
      <c r="G76" s="790">
        <v>62.94</v>
      </c>
      <c r="H76" s="756">
        <v>0</v>
      </c>
      <c r="I76" s="790">
        <v>0</v>
      </c>
      <c r="J76" s="361">
        <v>0</v>
      </c>
      <c r="K76" s="134">
        <v>0</v>
      </c>
      <c r="L76" s="361">
        <v>1056.739999999998</v>
      </c>
      <c r="M76">
        <v>0</v>
      </c>
      <c r="N76" s="835"/>
      <c r="O76" s="777">
        <v>2.1999999999999999E-2</v>
      </c>
      <c r="P76" s="836">
        <v>2.6800000000000001E-2</v>
      </c>
      <c r="Q76" s="790"/>
    </row>
    <row r="77" spans="1:21" ht="21.95" customHeight="1" x14ac:dyDescent="0.25">
      <c r="A77" s="50"/>
      <c r="B77" s="50"/>
      <c r="C77" s="51"/>
      <c r="D77" s="799"/>
      <c r="E77" s="22" t="s">
        <v>63</v>
      </c>
      <c r="F77" s="834">
        <v>100.95</v>
      </c>
      <c r="G77" s="790">
        <v>100.95</v>
      </c>
      <c r="H77" s="756">
        <v>0</v>
      </c>
      <c r="I77" s="790">
        <v>0</v>
      </c>
      <c r="J77" s="361">
        <v>0</v>
      </c>
      <c r="K77" s="134">
        <v>0</v>
      </c>
      <c r="L77" s="361">
        <v>257.30999999999949</v>
      </c>
      <c r="M77">
        <v>0</v>
      </c>
      <c r="N77" s="835"/>
      <c r="O77" s="777">
        <v>1.38E-2</v>
      </c>
      <c r="P77" s="836">
        <v>1.54E-2</v>
      </c>
      <c r="Q77" s="837"/>
    </row>
    <row r="78" spans="1:21" ht="21.95" customHeight="1" x14ac:dyDescent="0.25">
      <c r="A78" s="50"/>
      <c r="B78" s="50"/>
      <c r="C78" s="51"/>
      <c r="D78" s="799"/>
      <c r="E78" s="22" t="s">
        <v>9</v>
      </c>
      <c r="F78" s="840">
        <v>7.88</v>
      </c>
      <c r="G78" s="790">
        <v>7.88</v>
      </c>
      <c r="H78" s="756">
        <v>0</v>
      </c>
      <c r="I78" s="790">
        <v>0</v>
      </c>
      <c r="J78" s="361">
        <v>-8332.1133333333346</v>
      </c>
      <c r="K78" s="134">
        <v>0</v>
      </c>
      <c r="L78" s="790">
        <v>-7897.1833333333343</v>
      </c>
      <c r="M78">
        <v>0</v>
      </c>
      <c r="N78" s="835"/>
      <c r="O78" s="777">
        <v>0.04</v>
      </c>
      <c r="P78" s="836">
        <v>0</v>
      </c>
      <c r="Q78" s="790"/>
      <c r="R78" s="48"/>
      <c r="S78" s="48"/>
      <c r="T78" s="48"/>
      <c r="U78" s="48"/>
    </row>
    <row r="79" spans="1:21" ht="21.95" customHeight="1" x14ac:dyDescent="0.25">
      <c r="A79" s="51"/>
      <c r="B79" s="50"/>
      <c r="C79" s="51"/>
      <c r="D79" s="799"/>
      <c r="E79" s="22" t="s">
        <v>53</v>
      </c>
      <c r="F79" s="834">
        <v>71.89</v>
      </c>
      <c r="G79" s="790">
        <v>71.89</v>
      </c>
      <c r="H79" s="799">
        <v>0</v>
      </c>
      <c r="I79" s="790">
        <v>0</v>
      </c>
      <c r="J79" s="361">
        <v>0</v>
      </c>
      <c r="K79" s="134">
        <v>0</v>
      </c>
      <c r="L79" s="361">
        <v>33.940000000000055</v>
      </c>
      <c r="M79">
        <v>0</v>
      </c>
      <c r="N79" s="835"/>
      <c r="O79" s="777">
        <v>7.4000000000000003E-3</v>
      </c>
      <c r="P79" s="836">
        <v>1.5E-3</v>
      </c>
      <c r="Q79" s="790"/>
      <c r="R79" s="48"/>
      <c r="S79" s="48"/>
    </row>
    <row r="80" spans="1:21" ht="21.95" customHeight="1" x14ac:dyDescent="0.25">
      <c r="A80" s="50"/>
      <c r="B80" s="50"/>
      <c r="C80" s="51"/>
      <c r="D80" s="799"/>
      <c r="E80" s="22" t="s">
        <v>56</v>
      </c>
      <c r="F80" s="834">
        <v>38.03</v>
      </c>
      <c r="G80" s="790">
        <v>38.03</v>
      </c>
      <c r="H80" s="799">
        <v>0</v>
      </c>
      <c r="I80" s="790">
        <v>0</v>
      </c>
      <c r="J80" s="361">
        <v>0</v>
      </c>
      <c r="K80" s="134">
        <v>0</v>
      </c>
      <c r="L80" s="361">
        <v>36.819999999999709</v>
      </c>
      <c r="M80">
        <v>0</v>
      </c>
      <c r="N80" s="839"/>
      <c r="O80" s="777">
        <v>4.2999999999999997E-2</v>
      </c>
      <c r="P80" s="134">
        <v>2.98E-2</v>
      </c>
      <c r="Q80" s="837"/>
    </row>
    <row r="81" spans="1:17" ht="21.95" customHeight="1" x14ac:dyDescent="0.25">
      <c r="A81" s="50"/>
      <c r="B81" s="50"/>
      <c r="C81" s="51"/>
      <c r="D81" s="799"/>
      <c r="E81" s="22" t="s">
        <v>0</v>
      </c>
      <c r="F81" s="834">
        <v>209.32</v>
      </c>
      <c r="G81" s="790">
        <v>209.32</v>
      </c>
      <c r="H81" s="799">
        <v>0</v>
      </c>
      <c r="I81" s="790">
        <v>0</v>
      </c>
      <c r="J81" s="361">
        <v>0</v>
      </c>
      <c r="K81" s="134">
        <v>0</v>
      </c>
      <c r="L81" s="361">
        <v>465.57999999999993</v>
      </c>
      <c r="M81">
        <v>0</v>
      </c>
      <c r="N81" s="839"/>
      <c r="O81" s="777">
        <v>3.8999999999999998E-3</v>
      </c>
      <c r="P81" s="836">
        <v>1.26E-2</v>
      </c>
      <c r="Q81" s="790"/>
    </row>
    <row r="82" spans="1:17" ht="21.95" customHeight="1" x14ac:dyDescent="0.25">
      <c r="A82" s="50"/>
      <c r="B82" s="50"/>
      <c r="C82" s="51"/>
      <c r="D82" s="799"/>
      <c r="E82" s="22" t="s">
        <v>39</v>
      </c>
      <c r="F82" s="834">
        <v>44.8</v>
      </c>
      <c r="G82" s="790">
        <v>44.8</v>
      </c>
      <c r="H82" s="799">
        <v>0</v>
      </c>
      <c r="I82" s="790">
        <v>0</v>
      </c>
      <c r="J82" s="361">
        <v>0</v>
      </c>
      <c r="K82" s="134">
        <v>0</v>
      </c>
      <c r="L82" s="361">
        <v>529.88000000000284</v>
      </c>
      <c r="M82">
        <v>0</v>
      </c>
      <c r="N82" s="835"/>
      <c r="O82" s="777">
        <v>2.3E-2</v>
      </c>
      <c r="P82" s="836">
        <v>6.7000000000000002E-3</v>
      </c>
      <c r="Q82" s="790"/>
    </row>
    <row r="83" spans="1:17" ht="21.95" customHeight="1" x14ac:dyDescent="0.25">
      <c r="A83" s="50"/>
      <c r="B83" s="50"/>
      <c r="C83" s="51"/>
      <c r="D83" s="799"/>
      <c r="E83" s="22" t="s">
        <v>54</v>
      </c>
      <c r="F83" s="834">
        <v>125.77</v>
      </c>
      <c r="G83" s="790">
        <v>125.77</v>
      </c>
      <c r="H83" s="844">
        <v>0</v>
      </c>
      <c r="I83" s="790">
        <v>0</v>
      </c>
      <c r="J83" s="361">
        <v>0</v>
      </c>
      <c r="K83" s="134">
        <v>0</v>
      </c>
      <c r="L83" s="361">
        <v>114.84999999999991</v>
      </c>
      <c r="M83">
        <v>0</v>
      </c>
      <c r="N83" s="839"/>
      <c r="O83" s="777">
        <v>2.35E-2</v>
      </c>
      <c r="P83" s="836">
        <v>7.4999999999999997E-3</v>
      </c>
      <c r="Q83" s="837"/>
    </row>
    <row r="84" spans="1:17" ht="21.95" customHeight="1" x14ac:dyDescent="0.25">
      <c r="A84" s="50"/>
      <c r="B84" s="50"/>
      <c r="C84" s="51"/>
      <c r="D84" s="799"/>
      <c r="E84" s="22" t="s">
        <v>51</v>
      </c>
      <c r="F84" s="834">
        <v>228.79</v>
      </c>
      <c r="G84" s="790">
        <v>228.79</v>
      </c>
      <c r="H84" s="799">
        <v>0</v>
      </c>
      <c r="I84" s="790">
        <v>0</v>
      </c>
      <c r="J84" s="361">
        <v>0</v>
      </c>
      <c r="K84" s="134">
        <v>0</v>
      </c>
      <c r="L84" s="790">
        <v>176.70000000000073</v>
      </c>
      <c r="M84">
        <v>0</v>
      </c>
      <c r="N84" s="835"/>
      <c r="O84" s="777">
        <v>1.52E-2</v>
      </c>
      <c r="P84" s="836">
        <v>1.9E-2</v>
      </c>
      <c r="Q84" s="837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Q84">
    <sortCondition ref="N1"/>
  </sortState>
  <dataConsolidate/>
  <conditionalFormatting sqref="O70:O71 O1 O79:O1048576">
    <cfRule type="expression" dxfId="2733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32" priority="404">
      <formula>$H2=0</formula>
    </cfRule>
  </conditionalFormatting>
  <conditionalFormatting sqref="J2:K4 J70:K71 J6:K6 J21:K58 J12:K19 J85:K200">
    <cfRule type="expression" dxfId="2731" priority="405">
      <formula>$J2=0</formula>
    </cfRule>
  </conditionalFormatting>
  <conditionalFormatting sqref="L70:L71 L1:L6 L85:L1048576 L8:L58">
    <cfRule type="expression" dxfId="2730" priority="403">
      <formula>$L2=0</formula>
    </cfRule>
  </conditionalFormatting>
  <conditionalFormatting sqref="M1">
    <cfRule type="expression" dxfId="2729" priority="399">
      <formula>$L2=0</formula>
    </cfRule>
  </conditionalFormatting>
  <conditionalFormatting sqref="J2:K4 J6:K6 J21:K58 J12:K19">
    <cfRule type="expression" dxfId="2728" priority="447">
      <formula>$J2&gt;0</formula>
    </cfRule>
  </conditionalFormatting>
  <conditionalFormatting sqref="L2:L6 L8:L58">
    <cfRule type="expression" dxfId="2727" priority="401">
      <formula>$L2&lt;0</formula>
    </cfRule>
    <cfRule type="expression" dxfId="2726" priority="402">
      <formula>$L2&gt;0</formula>
    </cfRule>
  </conditionalFormatting>
  <conditionalFormatting sqref="J2:K4 J70:K71 J6:K6 J21:K58 J12:K19 J85:K458">
    <cfRule type="expression" dxfId="2725" priority="446">
      <formula>$J2&lt;0</formula>
    </cfRule>
  </conditionalFormatting>
  <conditionalFormatting sqref="E59 I59">
    <cfRule type="expression" dxfId="2724" priority="375">
      <formula>$H59=0</formula>
    </cfRule>
  </conditionalFormatting>
  <conditionalFormatting sqref="J59:K59">
    <cfRule type="expression" dxfId="2723" priority="376">
      <formula>$J59=0</formula>
    </cfRule>
  </conditionalFormatting>
  <conditionalFormatting sqref="L59">
    <cfRule type="expression" dxfId="2722" priority="374">
      <formula>$L60=0</formula>
    </cfRule>
  </conditionalFormatting>
  <conditionalFormatting sqref="J59:K59">
    <cfRule type="expression" dxfId="2721" priority="378">
      <formula>$J59&gt;0</formula>
    </cfRule>
  </conditionalFormatting>
  <conditionalFormatting sqref="L59">
    <cfRule type="expression" dxfId="2720" priority="372">
      <formula>$L59&lt;0</formula>
    </cfRule>
    <cfRule type="expression" dxfId="2719" priority="373">
      <formula>$L59&gt;0</formula>
    </cfRule>
  </conditionalFormatting>
  <conditionalFormatting sqref="J59:K59">
    <cfRule type="expression" dxfId="2718" priority="377">
      <formula>$J59&lt;0</formula>
    </cfRule>
  </conditionalFormatting>
  <conditionalFormatting sqref="E5 I5">
    <cfRule type="expression" dxfId="2717" priority="353">
      <formula>$H5=0</formula>
    </cfRule>
  </conditionalFormatting>
  <conditionalFormatting sqref="J5:K5">
    <cfRule type="expression" dxfId="2716" priority="354">
      <formula>$J5=0</formula>
    </cfRule>
  </conditionalFormatting>
  <conditionalFormatting sqref="J5:K5">
    <cfRule type="expression" dxfId="2715" priority="356">
      <formula>$J5&gt;0</formula>
    </cfRule>
  </conditionalFormatting>
  <conditionalFormatting sqref="J5:K5">
    <cfRule type="expression" dxfId="2714" priority="355">
      <formula>$J5&lt;0</formula>
    </cfRule>
  </conditionalFormatting>
  <conditionalFormatting sqref="E60 I60">
    <cfRule type="expression" dxfId="2713" priority="331">
      <formula>$H60=0</formula>
    </cfRule>
  </conditionalFormatting>
  <conditionalFormatting sqref="J60:K60">
    <cfRule type="expression" dxfId="2712" priority="332">
      <formula>$J60=0</formula>
    </cfRule>
  </conditionalFormatting>
  <conditionalFormatting sqref="L60">
    <cfRule type="expression" dxfId="2711" priority="330">
      <formula>$L61=0</formula>
    </cfRule>
  </conditionalFormatting>
  <conditionalFormatting sqref="J60:K60">
    <cfRule type="expression" dxfId="2710" priority="334">
      <formula>$J60&gt;0</formula>
    </cfRule>
  </conditionalFormatting>
  <conditionalFormatting sqref="L60">
    <cfRule type="expression" dxfId="2709" priority="328">
      <formula>$L60&lt;0</formula>
    </cfRule>
    <cfRule type="expression" dxfId="2708" priority="329">
      <formula>$L60&gt;0</formula>
    </cfRule>
  </conditionalFormatting>
  <conditionalFormatting sqref="J60:K60">
    <cfRule type="expression" dxfId="2707" priority="333">
      <formula>$J60&lt;0</formula>
    </cfRule>
  </conditionalFormatting>
  <conditionalFormatting sqref="E62 I62">
    <cfRule type="expression" dxfId="2706" priority="320">
      <formula>$H62=0</formula>
    </cfRule>
  </conditionalFormatting>
  <conditionalFormatting sqref="J62:K62">
    <cfRule type="expression" dxfId="2705" priority="321">
      <formula>$J62=0</formula>
    </cfRule>
  </conditionalFormatting>
  <conditionalFormatting sqref="L62">
    <cfRule type="expression" dxfId="2704" priority="319">
      <formula>$L63=0</formula>
    </cfRule>
  </conditionalFormatting>
  <conditionalFormatting sqref="J62:K62">
    <cfRule type="expression" dxfId="2703" priority="323">
      <formula>$J62&gt;0</formula>
    </cfRule>
  </conditionalFormatting>
  <conditionalFormatting sqref="L62">
    <cfRule type="expression" dxfId="2702" priority="317">
      <formula>$L62&lt;0</formula>
    </cfRule>
    <cfRule type="expression" dxfId="2701" priority="318">
      <formula>$L62&gt;0</formula>
    </cfRule>
  </conditionalFormatting>
  <conditionalFormatting sqref="J62:K62">
    <cfRule type="expression" dxfId="2700" priority="322">
      <formula>$J62&lt;0</formula>
    </cfRule>
  </conditionalFormatting>
  <conditionalFormatting sqref="E61 I61">
    <cfRule type="expression" dxfId="2699" priority="309">
      <formula>$H61=0</formula>
    </cfRule>
  </conditionalFormatting>
  <conditionalFormatting sqref="J61:K61">
    <cfRule type="expression" dxfId="2698" priority="310">
      <formula>$J61=0</formula>
    </cfRule>
  </conditionalFormatting>
  <conditionalFormatting sqref="L61">
    <cfRule type="expression" dxfId="2697" priority="308">
      <formula>$L62=0</formula>
    </cfRule>
  </conditionalFormatting>
  <conditionalFormatting sqref="J61:K61">
    <cfRule type="expression" dxfId="2696" priority="312">
      <formula>$J61&gt;0</formula>
    </cfRule>
  </conditionalFormatting>
  <conditionalFormatting sqref="L61">
    <cfRule type="expression" dxfId="2695" priority="306">
      <formula>$L61&lt;0</formula>
    </cfRule>
    <cfRule type="expression" dxfId="2694" priority="307">
      <formula>$L61&gt;0</formula>
    </cfRule>
  </conditionalFormatting>
  <conditionalFormatting sqref="J61:K61">
    <cfRule type="expression" dxfId="2693" priority="311">
      <formula>$J61&lt;0</formula>
    </cfRule>
  </conditionalFormatting>
  <conditionalFormatting sqref="E8 I8">
    <cfRule type="expression" dxfId="2692" priority="294">
      <formula>$H8=0</formula>
    </cfRule>
  </conditionalFormatting>
  <conditionalFormatting sqref="J8:K8">
    <cfRule type="expression" dxfId="2691" priority="295">
      <formula>$J8=0</formula>
    </cfRule>
  </conditionalFormatting>
  <conditionalFormatting sqref="J8:K8">
    <cfRule type="expression" dxfId="2690" priority="297">
      <formula>$J8&gt;0</formula>
    </cfRule>
  </conditionalFormatting>
  <conditionalFormatting sqref="J8:K8">
    <cfRule type="expression" dxfId="2689" priority="296">
      <formula>$J8&lt;0</formula>
    </cfRule>
  </conditionalFormatting>
  <conditionalFormatting sqref="E63 I63">
    <cfRule type="expression" dxfId="2688" priority="284">
      <formula>$H63=0</formula>
    </cfRule>
  </conditionalFormatting>
  <conditionalFormatting sqref="J63:K63">
    <cfRule type="expression" dxfId="2687" priority="285">
      <formula>$J63=0</formula>
    </cfRule>
  </conditionalFormatting>
  <conditionalFormatting sqref="L63">
    <cfRule type="expression" dxfId="2686" priority="283">
      <formula>$L64=0</formula>
    </cfRule>
  </conditionalFormatting>
  <conditionalFormatting sqref="J63:K63">
    <cfRule type="expression" dxfId="2685" priority="287">
      <formula>$J63&gt;0</formula>
    </cfRule>
  </conditionalFormatting>
  <conditionalFormatting sqref="L63">
    <cfRule type="expression" dxfId="2684" priority="281">
      <formula>$L63&lt;0</formula>
    </cfRule>
    <cfRule type="expression" dxfId="2683" priority="282">
      <formula>$L63&gt;0</formula>
    </cfRule>
  </conditionalFormatting>
  <conditionalFormatting sqref="J63:K63">
    <cfRule type="expression" dxfId="2682" priority="286">
      <formula>$J63&lt;0</formula>
    </cfRule>
  </conditionalFormatting>
  <conditionalFormatting sqref="E20 I20">
    <cfRule type="expression" dxfId="2681" priority="274">
      <formula>$H20=0</formula>
    </cfRule>
  </conditionalFormatting>
  <conditionalFormatting sqref="J20:K20">
    <cfRule type="expression" dxfId="2680" priority="275">
      <formula>$J20=0</formula>
    </cfRule>
  </conditionalFormatting>
  <conditionalFormatting sqref="J20:K20">
    <cfRule type="expression" dxfId="2679" priority="277">
      <formula>$J20&gt;0</formula>
    </cfRule>
  </conditionalFormatting>
  <conditionalFormatting sqref="J20:K20">
    <cfRule type="expression" dxfId="2678" priority="276">
      <formula>$J20&lt;0</formula>
    </cfRule>
  </conditionalFormatting>
  <conditionalFormatting sqref="E64 I64">
    <cfRule type="expression" dxfId="2677" priority="265">
      <formula>$H64=0</formula>
    </cfRule>
  </conditionalFormatting>
  <conditionalFormatting sqref="J64:K64">
    <cfRule type="expression" dxfId="2676" priority="266">
      <formula>$J64=0</formula>
    </cfRule>
  </conditionalFormatting>
  <conditionalFormatting sqref="L64">
    <cfRule type="expression" dxfId="2675" priority="264">
      <formula>$L65=0</formula>
    </cfRule>
  </conditionalFormatting>
  <conditionalFormatting sqref="J64:K64">
    <cfRule type="expression" dxfId="2674" priority="268">
      <formula>$J64&gt;0</formula>
    </cfRule>
  </conditionalFormatting>
  <conditionalFormatting sqref="L64">
    <cfRule type="expression" dxfId="2673" priority="262">
      <formula>$L64&lt;0</formula>
    </cfRule>
    <cfRule type="expression" dxfId="2672" priority="263">
      <formula>$L64&gt;0</formula>
    </cfRule>
  </conditionalFormatting>
  <conditionalFormatting sqref="J64:K64">
    <cfRule type="expression" dxfId="2671" priority="267">
      <formula>$J64&lt;0</formula>
    </cfRule>
  </conditionalFormatting>
  <conditionalFormatting sqref="E65 I65">
    <cfRule type="expression" dxfId="2670" priority="258">
      <formula>$H65=0</formula>
    </cfRule>
  </conditionalFormatting>
  <conditionalFormatting sqref="J65:K65">
    <cfRule type="expression" dxfId="2669" priority="259">
      <formula>$J65=0</formula>
    </cfRule>
  </conditionalFormatting>
  <conditionalFormatting sqref="L65">
    <cfRule type="expression" dxfId="2668" priority="257">
      <formula>$L66=0</formula>
    </cfRule>
  </conditionalFormatting>
  <conditionalFormatting sqref="J65:K65">
    <cfRule type="expression" dxfId="2667" priority="261">
      <formula>$J65&gt;0</formula>
    </cfRule>
  </conditionalFormatting>
  <conditionalFormatting sqref="L65">
    <cfRule type="expression" dxfId="2666" priority="255">
      <formula>$L65&lt;0</formula>
    </cfRule>
    <cfRule type="expression" dxfId="2665" priority="256">
      <formula>$L65&gt;0</formula>
    </cfRule>
  </conditionalFormatting>
  <conditionalFormatting sqref="J65:K65">
    <cfRule type="expression" dxfId="2664" priority="260">
      <formula>$J65&lt;0</formula>
    </cfRule>
  </conditionalFormatting>
  <conditionalFormatting sqref="E11 I11">
    <cfRule type="expression" dxfId="2663" priority="249">
      <formula>$H11=0</formula>
    </cfRule>
  </conditionalFormatting>
  <conditionalFormatting sqref="J11:K11">
    <cfRule type="expression" dxfId="2662" priority="250">
      <formula>$J11=0</formula>
    </cfRule>
  </conditionalFormatting>
  <conditionalFormatting sqref="J11:K11">
    <cfRule type="expression" dxfId="2661" priority="252">
      <formula>$J11&gt;0</formula>
    </cfRule>
  </conditionalFormatting>
  <conditionalFormatting sqref="J11:K11">
    <cfRule type="expression" dxfId="2660" priority="251">
      <formula>$J11&lt;0</formula>
    </cfRule>
  </conditionalFormatting>
  <conditionalFormatting sqref="E9 I9">
    <cfRule type="expression" dxfId="2659" priority="242">
      <formula>$H9=0</formula>
    </cfRule>
  </conditionalFormatting>
  <conditionalFormatting sqref="J9:K9">
    <cfRule type="expression" dxfId="2658" priority="243">
      <formula>$J9=0</formula>
    </cfRule>
  </conditionalFormatting>
  <conditionalFormatting sqref="J9:K9">
    <cfRule type="expression" dxfId="2657" priority="245">
      <formula>$J9&gt;0</formula>
    </cfRule>
  </conditionalFormatting>
  <conditionalFormatting sqref="J9:K9">
    <cfRule type="expression" dxfId="2656" priority="244">
      <formula>$J9&lt;0</formula>
    </cfRule>
  </conditionalFormatting>
  <conditionalFormatting sqref="E66 I66">
    <cfRule type="expression" dxfId="2655" priority="233">
      <formula>$H66=0</formula>
    </cfRule>
  </conditionalFormatting>
  <conditionalFormatting sqref="J66:K66">
    <cfRule type="expression" dxfId="2654" priority="234">
      <formula>$J66=0</formula>
    </cfRule>
  </conditionalFormatting>
  <conditionalFormatting sqref="L66">
    <cfRule type="expression" dxfId="2653" priority="232">
      <formula>$L67=0</formula>
    </cfRule>
  </conditionalFormatting>
  <conditionalFormatting sqref="J66:K66">
    <cfRule type="expression" dxfId="2652" priority="236">
      <formula>$J66&gt;0</formula>
    </cfRule>
  </conditionalFormatting>
  <conditionalFormatting sqref="L66">
    <cfRule type="expression" dxfId="2651" priority="230">
      <formula>$L66&lt;0</formula>
    </cfRule>
    <cfRule type="expression" dxfId="2650" priority="231">
      <formula>$L66&gt;0</formula>
    </cfRule>
  </conditionalFormatting>
  <conditionalFormatting sqref="J66:K66">
    <cfRule type="expression" dxfId="2649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48" priority="224">
      <formula>$H10=0</formula>
    </cfRule>
  </conditionalFormatting>
  <conditionalFormatting sqref="J10:K10">
    <cfRule type="expression" dxfId="2647" priority="225">
      <formula>$J10=0</formula>
    </cfRule>
  </conditionalFormatting>
  <conditionalFormatting sqref="J10:K10">
    <cfRule type="expression" dxfId="2646" priority="227">
      <formula>$J10&gt;0</formula>
    </cfRule>
  </conditionalFormatting>
  <conditionalFormatting sqref="J10:K10">
    <cfRule type="expression" dxfId="2645" priority="226">
      <formula>$J10&lt;0</formula>
    </cfRule>
  </conditionalFormatting>
  <conditionalFormatting sqref="E26:E28 E30 E45:E49 E36:E43">
    <cfRule type="expression" dxfId="2644" priority="220">
      <formula>$H26=0</formula>
    </cfRule>
  </conditionalFormatting>
  <conditionalFormatting sqref="E29">
    <cfRule type="expression" dxfId="2643" priority="219">
      <formula>$H29=0</formula>
    </cfRule>
  </conditionalFormatting>
  <conditionalFormatting sqref="E31">
    <cfRule type="expression" dxfId="2642" priority="218">
      <formula>$H31=0</formula>
    </cfRule>
  </conditionalFormatting>
  <conditionalFormatting sqref="E32">
    <cfRule type="expression" dxfId="2641" priority="217">
      <formula>$H32=0</formula>
    </cfRule>
  </conditionalFormatting>
  <conditionalFormatting sqref="E44">
    <cfRule type="expression" dxfId="2640" priority="216">
      <formula>$H44=0</formula>
    </cfRule>
  </conditionalFormatting>
  <conditionalFormatting sqref="E35">
    <cfRule type="expression" dxfId="2639" priority="215">
      <formula>$H35=0</formula>
    </cfRule>
  </conditionalFormatting>
  <conditionalFormatting sqref="E33">
    <cfRule type="expression" dxfId="2638" priority="214">
      <formula>$H33=0</formula>
    </cfRule>
  </conditionalFormatting>
  <conditionalFormatting sqref="E34">
    <cfRule type="expression" dxfId="2637" priority="213">
      <formula>$H34=0</formula>
    </cfRule>
  </conditionalFormatting>
  <conditionalFormatting sqref="E67 I67">
    <cfRule type="expression" dxfId="2636" priority="209">
      <formula>$H67=0</formula>
    </cfRule>
  </conditionalFormatting>
  <conditionalFormatting sqref="J67:K67">
    <cfRule type="expression" dxfId="2635" priority="210">
      <formula>$J67=0</formula>
    </cfRule>
  </conditionalFormatting>
  <conditionalFormatting sqref="L67">
    <cfRule type="expression" dxfId="2634" priority="208">
      <formula>$L68=0</formula>
    </cfRule>
  </conditionalFormatting>
  <conditionalFormatting sqref="J67:K67">
    <cfRule type="expression" dxfId="2633" priority="212">
      <formula>$J67&gt;0</formula>
    </cfRule>
  </conditionalFormatting>
  <conditionalFormatting sqref="L67">
    <cfRule type="expression" dxfId="2632" priority="206">
      <formula>$L67&lt;0</formula>
    </cfRule>
    <cfRule type="expression" dxfId="2631" priority="207">
      <formula>$L67&gt;0</formula>
    </cfRule>
  </conditionalFormatting>
  <conditionalFormatting sqref="J67:K67">
    <cfRule type="expression" dxfId="2630" priority="211">
      <formula>$J67&lt;0</formula>
    </cfRule>
  </conditionalFormatting>
  <conditionalFormatting sqref="E69 I69">
    <cfRule type="expression" dxfId="2629" priority="202">
      <formula>$H69=0</formula>
    </cfRule>
  </conditionalFormatting>
  <conditionalFormatting sqref="J69:K69">
    <cfRule type="expression" dxfId="2628" priority="203">
      <formula>$J69=0</formula>
    </cfRule>
  </conditionalFormatting>
  <conditionalFormatting sqref="L69">
    <cfRule type="expression" dxfId="2627" priority="201">
      <formula>$L70=0</formula>
    </cfRule>
  </conditionalFormatting>
  <conditionalFormatting sqref="J69:K69">
    <cfRule type="expression" dxfId="2626" priority="205">
      <formula>$J69&gt;0</formula>
    </cfRule>
  </conditionalFormatting>
  <conditionalFormatting sqref="L69">
    <cfRule type="expression" dxfId="2625" priority="199">
      <formula>$L69&lt;0</formula>
    </cfRule>
    <cfRule type="expression" dxfId="2624" priority="200">
      <formula>$L69&gt;0</formula>
    </cfRule>
  </conditionalFormatting>
  <conditionalFormatting sqref="J69:K69">
    <cfRule type="expression" dxfId="2623" priority="204">
      <formula>$J69&lt;0</formula>
    </cfRule>
  </conditionalFormatting>
  <conditionalFormatting sqref="E68 I68">
    <cfRule type="expression" dxfId="2622" priority="195">
      <formula>$H68=0</formula>
    </cfRule>
  </conditionalFormatting>
  <conditionalFormatting sqref="J68:K68">
    <cfRule type="expression" dxfId="2621" priority="196">
      <formula>$J68=0</formula>
    </cfRule>
  </conditionalFormatting>
  <conditionalFormatting sqref="L68">
    <cfRule type="expression" dxfId="2620" priority="194">
      <formula>$L69=0</formula>
    </cfRule>
  </conditionalFormatting>
  <conditionalFormatting sqref="J68:K68">
    <cfRule type="expression" dxfId="2619" priority="198">
      <formula>$J68&gt;0</formula>
    </cfRule>
  </conditionalFormatting>
  <conditionalFormatting sqref="L68">
    <cfRule type="expression" dxfId="2618" priority="192">
      <formula>$L68&lt;0</formula>
    </cfRule>
    <cfRule type="expression" dxfId="2617" priority="193">
      <formula>$L68&gt;0</formula>
    </cfRule>
  </conditionalFormatting>
  <conditionalFormatting sqref="J68:K68">
    <cfRule type="expression" dxfId="2616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615" priority="187">
      <formula>$H69=0</formula>
    </cfRule>
  </conditionalFormatting>
  <conditionalFormatting sqref="J69:K69">
    <cfRule type="expression" dxfId="2614" priority="188">
      <formula>$J69=0</formula>
    </cfRule>
  </conditionalFormatting>
  <conditionalFormatting sqref="L69">
    <cfRule type="expression" dxfId="2613" priority="186">
      <formula>$L70=0</formula>
    </cfRule>
  </conditionalFormatting>
  <conditionalFormatting sqref="J69:K69">
    <cfRule type="expression" dxfId="2612" priority="190">
      <formula>$J69&gt;0</formula>
    </cfRule>
  </conditionalFormatting>
  <conditionalFormatting sqref="L69">
    <cfRule type="expression" dxfId="2611" priority="184">
      <formula>$L69&lt;0</formula>
    </cfRule>
    <cfRule type="expression" dxfId="2610" priority="185">
      <formula>$L69&gt;0</formula>
    </cfRule>
  </conditionalFormatting>
  <conditionalFormatting sqref="J69:K69">
    <cfRule type="expression" dxfId="2609" priority="189">
      <formula>$J69&lt;0</formula>
    </cfRule>
  </conditionalFormatting>
  <conditionalFormatting sqref="E71 I71">
    <cfRule type="expression" dxfId="2608" priority="180">
      <formula>$H71=0</formula>
    </cfRule>
  </conditionalFormatting>
  <conditionalFormatting sqref="J71:K71">
    <cfRule type="expression" dxfId="2607" priority="181">
      <formula>$J71=0</formula>
    </cfRule>
  </conditionalFormatting>
  <conditionalFormatting sqref="L71">
    <cfRule type="expression" dxfId="2606" priority="179">
      <formula>$L72=0</formula>
    </cfRule>
  </conditionalFormatting>
  <conditionalFormatting sqref="J71:K71">
    <cfRule type="expression" dxfId="2605" priority="183">
      <formula>$J71&gt;0</formula>
    </cfRule>
  </conditionalFormatting>
  <conditionalFormatting sqref="L71">
    <cfRule type="expression" dxfId="2604" priority="177">
      <formula>$L71&lt;0</formula>
    </cfRule>
    <cfRule type="expression" dxfId="2603" priority="178">
      <formula>$L71&gt;0</formula>
    </cfRule>
  </conditionalFormatting>
  <conditionalFormatting sqref="J71:K71">
    <cfRule type="expression" dxfId="2602" priority="182">
      <formula>$J71&lt;0</formula>
    </cfRule>
  </conditionalFormatting>
  <conditionalFormatting sqref="E70 I70">
    <cfRule type="expression" dxfId="2601" priority="173">
      <formula>$H70=0</formula>
    </cfRule>
  </conditionalFormatting>
  <conditionalFormatting sqref="J70:K70">
    <cfRule type="expression" dxfId="2600" priority="174">
      <formula>$J70=0</formula>
    </cfRule>
  </conditionalFormatting>
  <conditionalFormatting sqref="L70">
    <cfRule type="expression" dxfId="2599" priority="172">
      <formula>$L71=0</formula>
    </cfRule>
  </conditionalFormatting>
  <conditionalFormatting sqref="J70:K70">
    <cfRule type="expression" dxfId="2598" priority="176">
      <formula>$J70&gt;0</formula>
    </cfRule>
  </conditionalFormatting>
  <conditionalFormatting sqref="L70">
    <cfRule type="expression" dxfId="2597" priority="170">
      <formula>$L70&lt;0</formula>
    </cfRule>
    <cfRule type="expression" dxfId="2596" priority="171">
      <formula>$L70&gt;0</formula>
    </cfRule>
  </conditionalFormatting>
  <conditionalFormatting sqref="J70:K70">
    <cfRule type="expression" dxfId="2595" priority="175">
      <formula>$J70&lt;0</formula>
    </cfRule>
  </conditionalFormatting>
  <conditionalFormatting sqref="O73:O74">
    <cfRule type="expression" dxfId="2594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93" priority="162">
      <formula>$J73=0</formula>
    </cfRule>
  </conditionalFormatting>
  <conditionalFormatting sqref="L73:L74">
    <cfRule type="expression" dxfId="2592" priority="161">
      <formula>$L74=0</formula>
    </cfRule>
  </conditionalFormatting>
  <conditionalFormatting sqref="J73:K74">
    <cfRule type="expression" dxfId="2591" priority="163">
      <formula>$J73&lt;0</formula>
    </cfRule>
  </conditionalFormatting>
  <conditionalFormatting sqref="E72 I72">
    <cfRule type="expression" dxfId="2590" priority="157">
      <formula>$H72=0</formula>
    </cfRule>
  </conditionalFormatting>
  <conditionalFormatting sqref="J72:K72">
    <cfRule type="expression" dxfId="2589" priority="158">
      <formula>$J72=0</formula>
    </cfRule>
  </conditionalFormatting>
  <conditionalFormatting sqref="L72">
    <cfRule type="expression" dxfId="2588" priority="156">
      <formula>$L73=0</formula>
    </cfRule>
  </conditionalFormatting>
  <conditionalFormatting sqref="J72:K72">
    <cfRule type="expression" dxfId="2587" priority="160">
      <formula>$J72&gt;0</formula>
    </cfRule>
  </conditionalFormatting>
  <conditionalFormatting sqref="L72">
    <cfRule type="expression" dxfId="2586" priority="154">
      <formula>$L72&lt;0</formula>
    </cfRule>
    <cfRule type="expression" dxfId="2585" priority="155">
      <formula>$L72&gt;0</formula>
    </cfRule>
  </conditionalFormatting>
  <conditionalFormatting sqref="J72:K72">
    <cfRule type="expression" dxfId="2584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83" priority="149">
      <formula>$H72=0</formula>
    </cfRule>
  </conditionalFormatting>
  <conditionalFormatting sqref="J72:K72">
    <cfRule type="expression" dxfId="2582" priority="150">
      <formula>$J72=0</formula>
    </cfRule>
  </conditionalFormatting>
  <conditionalFormatting sqref="L72">
    <cfRule type="expression" dxfId="2581" priority="148">
      <formula>$L73=0</formula>
    </cfRule>
  </conditionalFormatting>
  <conditionalFormatting sqref="J72:K72">
    <cfRule type="expression" dxfId="2580" priority="152">
      <formula>$J72&gt;0</formula>
    </cfRule>
  </conditionalFormatting>
  <conditionalFormatting sqref="L72">
    <cfRule type="expression" dxfId="2579" priority="146">
      <formula>$L72&lt;0</formula>
    </cfRule>
    <cfRule type="expression" dxfId="2578" priority="147">
      <formula>$L72&gt;0</formula>
    </cfRule>
  </conditionalFormatting>
  <conditionalFormatting sqref="J72:K72">
    <cfRule type="expression" dxfId="2577" priority="151">
      <formula>$J72&lt;0</formula>
    </cfRule>
  </conditionalFormatting>
  <conditionalFormatting sqref="E74 I74">
    <cfRule type="expression" dxfId="2576" priority="142">
      <formula>$H74=0</formula>
    </cfRule>
  </conditionalFormatting>
  <conditionalFormatting sqref="J74:K74">
    <cfRule type="expression" dxfId="2575" priority="143">
      <formula>$J74=0</formula>
    </cfRule>
  </conditionalFormatting>
  <conditionalFormatting sqref="L74">
    <cfRule type="expression" dxfId="2574" priority="141">
      <formula>$L75=0</formula>
    </cfRule>
  </conditionalFormatting>
  <conditionalFormatting sqref="J74:K74">
    <cfRule type="expression" dxfId="2573" priority="145">
      <formula>$J74&gt;0</formula>
    </cfRule>
  </conditionalFormatting>
  <conditionalFormatting sqref="L74">
    <cfRule type="expression" dxfId="2572" priority="139">
      <formula>$L74&lt;0</formula>
    </cfRule>
    <cfRule type="expression" dxfId="2571" priority="140">
      <formula>$L74&gt;0</formula>
    </cfRule>
  </conditionalFormatting>
  <conditionalFormatting sqref="J74:K74">
    <cfRule type="expression" dxfId="2570" priority="144">
      <formula>$J74&lt;0</formula>
    </cfRule>
  </conditionalFormatting>
  <conditionalFormatting sqref="E73 I73">
    <cfRule type="expression" dxfId="2569" priority="135">
      <formula>$H73=0</formula>
    </cfRule>
  </conditionalFormatting>
  <conditionalFormatting sqref="J73:K73">
    <cfRule type="expression" dxfId="2568" priority="136">
      <formula>$J73=0</formula>
    </cfRule>
  </conditionalFormatting>
  <conditionalFormatting sqref="L73">
    <cfRule type="expression" dxfId="2567" priority="134">
      <formula>$L74=0</formula>
    </cfRule>
  </conditionalFormatting>
  <conditionalFormatting sqref="J73:K73">
    <cfRule type="expression" dxfId="2566" priority="138">
      <formula>$J73&gt;0</formula>
    </cfRule>
  </conditionalFormatting>
  <conditionalFormatting sqref="L73">
    <cfRule type="expression" dxfId="2565" priority="132">
      <formula>$L73&lt;0</formula>
    </cfRule>
    <cfRule type="expression" dxfId="2564" priority="133">
      <formula>$L73&gt;0</formula>
    </cfRule>
  </conditionalFormatting>
  <conditionalFormatting sqref="J73:K73">
    <cfRule type="expression" dxfId="2563" priority="137">
      <formula>$J73&lt;0</formula>
    </cfRule>
  </conditionalFormatting>
  <conditionalFormatting sqref="O75">
    <cfRule type="expression" dxfId="2562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61" priority="124">
      <formula>$J75=0</formula>
    </cfRule>
  </conditionalFormatting>
  <conditionalFormatting sqref="L75">
    <cfRule type="expression" dxfId="2560" priority="123">
      <formula>$L76=0</formula>
    </cfRule>
  </conditionalFormatting>
  <conditionalFormatting sqref="J75:K75">
    <cfRule type="expression" dxfId="2559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58" priority="118">
      <formula>$H75=0</formula>
    </cfRule>
  </conditionalFormatting>
  <conditionalFormatting sqref="J75:K75">
    <cfRule type="expression" dxfId="2557" priority="119">
      <formula>$J75=0</formula>
    </cfRule>
  </conditionalFormatting>
  <conditionalFormatting sqref="L75">
    <cfRule type="expression" dxfId="2556" priority="117">
      <formula>$L76=0</formula>
    </cfRule>
  </conditionalFormatting>
  <conditionalFormatting sqref="J75:K75">
    <cfRule type="expression" dxfId="2555" priority="121">
      <formula>$J75&gt;0</formula>
    </cfRule>
  </conditionalFormatting>
  <conditionalFormatting sqref="L75">
    <cfRule type="expression" dxfId="2554" priority="115">
      <formula>$L75&lt;0</formula>
    </cfRule>
    <cfRule type="expression" dxfId="2553" priority="116">
      <formula>$L75&gt;0</formula>
    </cfRule>
  </conditionalFormatting>
  <conditionalFormatting sqref="J75:K75">
    <cfRule type="expression" dxfId="2552" priority="120">
      <formula>$J75&lt;0</formula>
    </cfRule>
  </conditionalFormatting>
  <conditionalFormatting sqref="E7 I7">
    <cfRule type="expression" dxfId="2551" priority="110">
      <formula>$H7=0</formula>
    </cfRule>
  </conditionalFormatting>
  <conditionalFormatting sqref="J7:K7">
    <cfRule type="expression" dxfId="2550" priority="111">
      <formula>$J7=0</formula>
    </cfRule>
  </conditionalFormatting>
  <conditionalFormatting sqref="L7">
    <cfRule type="expression" dxfId="2549" priority="109">
      <formula>$L8=0</formula>
    </cfRule>
  </conditionalFormatting>
  <conditionalFormatting sqref="J7:K7">
    <cfRule type="expression" dxfId="2548" priority="113">
      <formula>$J7&gt;0</formula>
    </cfRule>
  </conditionalFormatting>
  <conditionalFormatting sqref="L7">
    <cfRule type="expression" dxfId="2547" priority="107">
      <formula>$L7&lt;0</formula>
    </cfRule>
    <cfRule type="expression" dxfId="2546" priority="108">
      <formula>$L7&gt;0</formula>
    </cfRule>
  </conditionalFormatting>
  <conditionalFormatting sqref="J7:K7">
    <cfRule type="expression" dxfId="2545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44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43" priority="100">
      <formula>$J76=0</formula>
    </cfRule>
  </conditionalFormatting>
  <conditionalFormatting sqref="L76">
    <cfRule type="expression" dxfId="2542" priority="99">
      <formula>$L77=0</formula>
    </cfRule>
  </conditionalFormatting>
  <conditionalFormatting sqref="J76:K76">
    <cfRule type="expression" dxfId="2541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40" priority="94">
      <formula>$H76=0</formula>
    </cfRule>
  </conditionalFormatting>
  <conditionalFormatting sqref="J76:K76">
    <cfRule type="expression" dxfId="2539" priority="95">
      <formula>$J76=0</formula>
    </cfRule>
  </conditionalFormatting>
  <conditionalFormatting sqref="L76">
    <cfRule type="expression" dxfId="2538" priority="93">
      <formula>$L77=0</formula>
    </cfRule>
  </conditionalFormatting>
  <conditionalFormatting sqref="J76:K76">
    <cfRule type="expression" dxfId="2537" priority="97">
      <formula>$J76&gt;0</formula>
    </cfRule>
  </conditionalFormatting>
  <conditionalFormatting sqref="L76">
    <cfRule type="expression" dxfId="2536" priority="91">
      <formula>$L76&lt;0</formula>
    </cfRule>
    <cfRule type="expression" dxfId="2535" priority="92">
      <formula>$L76&gt;0</formula>
    </cfRule>
  </conditionalFormatting>
  <conditionalFormatting sqref="J76:K76">
    <cfRule type="expression" dxfId="2534" priority="96">
      <formula>$J76&lt;0</formula>
    </cfRule>
  </conditionalFormatting>
  <conditionalFormatting sqref="O77">
    <cfRule type="expression" dxfId="2533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32" priority="87">
      <formula>$J77=0</formula>
    </cfRule>
  </conditionalFormatting>
  <conditionalFormatting sqref="L77">
    <cfRule type="expression" dxfId="2531" priority="86">
      <formula>$L78=0</formula>
    </cfRule>
  </conditionalFormatting>
  <conditionalFormatting sqref="J77:K77">
    <cfRule type="expression" dxfId="2530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29" priority="81">
      <formula>$H77=0</formula>
    </cfRule>
  </conditionalFormatting>
  <conditionalFormatting sqref="J77:K77">
    <cfRule type="expression" dxfId="2528" priority="82">
      <formula>$J77=0</formula>
    </cfRule>
  </conditionalFormatting>
  <conditionalFormatting sqref="L77">
    <cfRule type="expression" dxfId="2527" priority="80">
      <formula>$L78=0</formula>
    </cfRule>
  </conditionalFormatting>
  <conditionalFormatting sqref="J77:K77">
    <cfRule type="expression" dxfId="2526" priority="84">
      <formula>$J77&gt;0</formula>
    </cfRule>
  </conditionalFormatting>
  <conditionalFormatting sqref="L77">
    <cfRule type="expression" dxfId="2525" priority="78">
      <formula>$L77&lt;0</formula>
    </cfRule>
    <cfRule type="expression" dxfId="2524" priority="79">
      <formula>$L77&gt;0</formula>
    </cfRule>
  </conditionalFormatting>
  <conditionalFormatting sqref="J77:K77">
    <cfRule type="expression" dxfId="2523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22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21" priority="73">
      <formula>$J78=0</formula>
    </cfRule>
  </conditionalFormatting>
  <conditionalFormatting sqref="L78">
    <cfRule type="expression" dxfId="2520" priority="72">
      <formula>$L79=0</formula>
    </cfRule>
  </conditionalFormatting>
  <conditionalFormatting sqref="J78:K78">
    <cfRule type="expression" dxfId="2519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18" priority="67">
      <formula>$H78=0</formula>
    </cfRule>
  </conditionalFormatting>
  <conditionalFormatting sqref="J78:K78">
    <cfRule type="expression" dxfId="2517" priority="68">
      <formula>$J78=0</formula>
    </cfRule>
  </conditionalFormatting>
  <conditionalFormatting sqref="L78">
    <cfRule type="expression" dxfId="2516" priority="66">
      <formula>$L79=0</formula>
    </cfRule>
  </conditionalFormatting>
  <conditionalFormatting sqref="J78:K78">
    <cfRule type="expression" dxfId="2515" priority="70">
      <formula>$J78&gt;0</formula>
    </cfRule>
  </conditionalFormatting>
  <conditionalFormatting sqref="L78">
    <cfRule type="expression" dxfId="2514" priority="64">
      <formula>$L78&lt;0</formula>
    </cfRule>
    <cfRule type="expression" dxfId="2513" priority="65">
      <formula>$L78&gt;0</formula>
    </cfRule>
  </conditionalFormatting>
  <conditionalFormatting sqref="J78:K78">
    <cfRule type="expression" dxfId="2512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11" priority="60">
      <formula>$J79=0</formula>
    </cfRule>
  </conditionalFormatting>
  <conditionalFormatting sqref="L79">
    <cfRule type="expression" dxfId="2510" priority="59">
      <formula>$L80=0</formula>
    </cfRule>
  </conditionalFormatting>
  <conditionalFormatting sqref="J79:K79">
    <cfRule type="expression" dxfId="2509" priority="61">
      <formula>$J79&lt;0</formula>
    </cfRule>
  </conditionalFormatting>
  <conditionalFormatting sqref="E79 I79">
    <cfRule type="expression" dxfId="2508" priority="55">
      <formula>$H79=0</formula>
    </cfRule>
  </conditionalFormatting>
  <conditionalFormatting sqref="J79:K79">
    <cfRule type="expression" dxfId="2507" priority="56">
      <formula>$J79=0</formula>
    </cfRule>
  </conditionalFormatting>
  <conditionalFormatting sqref="L79">
    <cfRule type="expression" dxfId="2506" priority="54">
      <formula>$L80=0</formula>
    </cfRule>
  </conditionalFormatting>
  <conditionalFormatting sqref="J79:K79">
    <cfRule type="expression" dxfId="2505" priority="58">
      <formula>$J79&gt;0</formula>
    </cfRule>
  </conditionalFormatting>
  <conditionalFormatting sqref="L79">
    <cfRule type="expression" dxfId="2504" priority="52">
      <formula>$L79&lt;0</formula>
    </cfRule>
    <cfRule type="expression" dxfId="2503" priority="53">
      <formula>$L79&gt;0</formula>
    </cfRule>
  </conditionalFormatting>
  <conditionalFormatting sqref="J79:K79">
    <cfRule type="expression" dxfId="2502" priority="57">
      <formula>$J79&lt;0</formula>
    </cfRule>
  </conditionalFormatting>
  <conditionalFormatting sqref="J80:K80">
    <cfRule type="expression" dxfId="2501" priority="50">
      <formula>$J80=0</formula>
    </cfRule>
  </conditionalFormatting>
  <conditionalFormatting sqref="L80">
    <cfRule type="expression" dxfId="2500" priority="49">
      <formula>$L81=0</formula>
    </cfRule>
  </conditionalFormatting>
  <conditionalFormatting sqref="J80:K80">
    <cfRule type="expression" dxfId="2499" priority="51">
      <formula>$J80&lt;0</formula>
    </cfRule>
  </conditionalFormatting>
  <conditionalFormatting sqref="E80 I80">
    <cfRule type="expression" dxfId="2498" priority="45">
      <formula>$H80=0</formula>
    </cfRule>
  </conditionalFormatting>
  <conditionalFormatting sqref="J80:K80">
    <cfRule type="expression" dxfId="2497" priority="46">
      <formula>$J80=0</formula>
    </cfRule>
  </conditionalFormatting>
  <conditionalFormatting sqref="L80">
    <cfRule type="expression" dxfId="2496" priority="44">
      <formula>$L81=0</formula>
    </cfRule>
  </conditionalFormatting>
  <conditionalFormatting sqref="J80:K80">
    <cfRule type="expression" dxfId="2495" priority="48">
      <formula>$J80&gt;0</formula>
    </cfRule>
  </conditionalFormatting>
  <conditionalFormatting sqref="L80">
    <cfRule type="expression" dxfId="2494" priority="42">
      <formula>$L80&lt;0</formula>
    </cfRule>
    <cfRule type="expression" dxfId="2493" priority="43">
      <formula>$L80&gt;0</formula>
    </cfRule>
  </conditionalFormatting>
  <conditionalFormatting sqref="J80:K80">
    <cfRule type="expression" dxfId="2492" priority="47">
      <formula>$J80&lt;0</formula>
    </cfRule>
  </conditionalFormatting>
  <conditionalFormatting sqref="J81:K81">
    <cfRule type="expression" dxfId="2491" priority="40">
      <formula>$J81=0</formula>
    </cfRule>
  </conditionalFormatting>
  <conditionalFormatting sqref="L81">
    <cfRule type="expression" dxfId="2490" priority="39">
      <formula>$L82=0</formula>
    </cfRule>
  </conditionalFormatting>
  <conditionalFormatting sqref="J81:K81">
    <cfRule type="expression" dxfId="2489" priority="41">
      <formula>$J81&lt;0</formula>
    </cfRule>
  </conditionalFormatting>
  <conditionalFormatting sqref="E81 I81">
    <cfRule type="expression" dxfId="2488" priority="35">
      <formula>$H81=0</formula>
    </cfRule>
  </conditionalFormatting>
  <conditionalFormatting sqref="J81:K81">
    <cfRule type="expression" dxfId="2487" priority="36">
      <formula>$J81=0</formula>
    </cfRule>
  </conditionalFormatting>
  <conditionalFormatting sqref="L81">
    <cfRule type="expression" dxfId="2486" priority="34">
      <formula>$L82=0</formula>
    </cfRule>
  </conditionalFormatting>
  <conditionalFormatting sqref="J81:K81">
    <cfRule type="expression" dxfId="2485" priority="38">
      <formula>$J81&gt;0</formula>
    </cfRule>
  </conditionalFormatting>
  <conditionalFormatting sqref="L81">
    <cfRule type="expression" dxfId="2484" priority="32">
      <formula>$L81&lt;0</formula>
    </cfRule>
    <cfRule type="expression" dxfId="2483" priority="33">
      <formula>$L81&gt;0</formula>
    </cfRule>
  </conditionalFormatting>
  <conditionalFormatting sqref="J81:K81">
    <cfRule type="expression" dxfId="2482" priority="37">
      <formula>$J81&lt;0</formula>
    </cfRule>
  </conditionalFormatting>
  <conditionalFormatting sqref="J82:K82">
    <cfRule type="expression" dxfId="2481" priority="30">
      <formula>$J82=0</formula>
    </cfRule>
  </conditionalFormatting>
  <conditionalFormatting sqref="L82">
    <cfRule type="expression" dxfId="2480" priority="29">
      <formula>$L83=0</formula>
    </cfRule>
  </conditionalFormatting>
  <conditionalFormatting sqref="J82:K82">
    <cfRule type="expression" dxfId="2479" priority="31">
      <formula>$J82&lt;0</formula>
    </cfRule>
  </conditionalFormatting>
  <conditionalFormatting sqref="E82 I82">
    <cfRule type="expression" dxfId="2478" priority="25">
      <formula>$H82=0</formula>
    </cfRule>
  </conditionalFormatting>
  <conditionalFormatting sqref="J82:K82">
    <cfRule type="expression" dxfId="2477" priority="26">
      <formula>$J82=0</formula>
    </cfRule>
  </conditionalFormatting>
  <conditionalFormatting sqref="L82">
    <cfRule type="expression" dxfId="2476" priority="24">
      <formula>$L83=0</formula>
    </cfRule>
  </conditionalFormatting>
  <conditionalFormatting sqref="J82:K82">
    <cfRule type="expression" dxfId="2475" priority="28">
      <formula>$J82&gt;0</formula>
    </cfRule>
  </conditionalFormatting>
  <conditionalFormatting sqref="L82">
    <cfRule type="expression" dxfId="2474" priority="22">
      <formula>$L82&lt;0</formula>
    </cfRule>
    <cfRule type="expression" dxfId="2473" priority="23">
      <formula>$L82&gt;0</formula>
    </cfRule>
  </conditionalFormatting>
  <conditionalFormatting sqref="J82:K82">
    <cfRule type="expression" dxfId="2472" priority="27">
      <formula>$J82&lt;0</formula>
    </cfRule>
  </conditionalFormatting>
  <conditionalFormatting sqref="J83:K83">
    <cfRule type="expression" dxfId="2471" priority="20">
      <formula>$J83=0</formula>
    </cfRule>
  </conditionalFormatting>
  <conditionalFormatting sqref="L83">
    <cfRule type="expression" dxfId="2470" priority="19">
      <formula>$L84=0</formula>
    </cfRule>
  </conditionalFormatting>
  <conditionalFormatting sqref="J83:K83">
    <cfRule type="expression" dxfId="2469" priority="21">
      <formula>$J83&lt;0</formula>
    </cfRule>
  </conditionalFormatting>
  <conditionalFormatting sqref="E83 I83">
    <cfRule type="expression" dxfId="2468" priority="15">
      <formula>$H83=0</formula>
    </cfRule>
  </conditionalFormatting>
  <conditionalFormatting sqref="J83:K83">
    <cfRule type="expression" dxfId="2467" priority="16">
      <formula>$J83=0</formula>
    </cfRule>
  </conditionalFormatting>
  <conditionalFormatting sqref="L83">
    <cfRule type="expression" dxfId="2466" priority="14">
      <formula>$L84=0</formula>
    </cfRule>
  </conditionalFormatting>
  <conditionalFormatting sqref="J83:K83">
    <cfRule type="expression" dxfId="2465" priority="18">
      <formula>$J83&gt;0</formula>
    </cfRule>
  </conditionalFormatting>
  <conditionalFormatting sqref="L83">
    <cfRule type="expression" dxfId="2464" priority="12">
      <formula>$L83&lt;0</formula>
    </cfRule>
    <cfRule type="expression" dxfId="2463" priority="13">
      <formula>$L83&gt;0</formula>
    </cfRule>
  </conditionalFormatting>
  <conditionalFormatting sqref="J83:K83">
    <cfRule type="expression" dxfId="2462" priority="17">
      <formula>$J83&lt;0</formula>
    </cfRule>
  </conditionalFormatting>
  <conditionalFormatting sqref="J84:K84">
    <cfRule type="expression" dxfId="2461" priority="10">
      <formula>$J84=0</formula>
    </cfRule>
  </conditionalFormatting>
  <conditionalFormatting sqref="L84">
    <cfRule type="expression" dxfId="2460" priority="9">
      <formula>$L85=0</formula>
    </cfRule>
  </conditionalFormatting>
  <conditionalFormatting sqref="J84:K84">
    <cfRule type="expression" dxfId="2459" priority="11">
      <formula>$J84&lt;0</formula>
    </cfRule>
  </conditionalFormatting>
  <conditionalFormatting sqref="E84 I84">
    <cfRule type="expression" dxfId="2458" priority="5">
      <formula>$H84=0</formula>
    </cfRule>
  </conditionalFormatting>
  <conditionalFormatting sqref="J84:K84">
    <cfRule type="expression" dxfId="2457" priority="6">
      <formula>$J84=0</formula>
    </cfRule>
  </conditionalFormatting>
  <conditionalFormatting sqref="L84">
    <cfRule type="expression" dxfId="2456" priority="4">
      <formula>$L85=0</formula>
    </cfRule>
  </conditionalFormatting>
  <conditionalFormatting sqref="J84:K84">
    <cfRule type="expression" dxfId="2455" priority="8">
      <formula>$J84&gt;0</formula>
    </cfRule>
  </conditionalFormatting>
  <conditionalFormatting sqref="L84">
    <cfRule type="expression" dxfId="2454" priority="2">
      <formula>$L84&lt;0</formula>
    </cfRule>
    <cfRule type="expression" dxfId="2453" priority="3">
      <formula>$L84&gt;0</formula>
    </cfRule>
  </conditionalFormatting>
  <conditionalFormatting sqref="J84:K84">
    <cfRule type="expression" dxfId="2452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7" location="BIIB!A1" display="BIIB"/>
    <hyperlink ref="E38" location="MYL!A1" display="MYL"/>
    <hyperlink ref="E15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31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8" location="MRO!A1" display="MRO"/>
    <hyperlink ref="E2" location="GE!A1" display="GE"/>
    <hyperlink ref="E30" location="XRAY!A1" display="XRAY"/>
    <hyperlink ref="E11" location="KR!A1" display="KR"/>
    <hyperlink ref="E52" location="F!A1" display="F"/>
    <hyperlink ref="E53" location="JNJ!A1" display="JNJ"/>
    <hyperlink ref="E16" location="ULTA!A1" display="ULTA"/>
    <hyperlink ref="E36" location="FRC!A1" display="FRC"/>
    <hyperlink ref="E26" location="AAP!A1" display="AAP"/>
    <hyperlink ref="E4" location="CMCSA!A1" display="CMCSA"/>
    <hyperlink ref="E10" location="XEC!A1" display="XEC"/>
    <hyperlink ref="E28" location="MO!A1" display="MO"/>
    <hyperlink ref="E33" location="T!A1" display="T"/>
    <hyperlink ref="E35" location="COST!A1" display="COST"/>
    <hyperlink ref="E54" location="CPN!A1" display="CPN"/>
    <hyperlink ref="E55" location="EW!A1" display="EW"/>
    <hyperlink ref="E56" location="TJX!A1" display="TJX"/>
    <hyperlink ref="E21" location="QQQ!A1" display="QQQ"/>
    <hyperlink ref="E14" location="WBA!A1" display="WBA"/>
    <hyperlink ref="E57" location="AZO!A1" display="AZO"/>
    <hyperlink ref="E23" location="FL!A1" display="FL"/>
    <hyperlink ref="E6" location="MLM!A1" display="MLM"/>
    <hyperlink ref="E27" location="KHC!A1" display="KHC"/>
    <hyperlink ref="E29" location="KBWY!A1" display="KBWY"/>
    <hyperlink ref="E25" location="AYI!A1" display="AYI"/>
    <hyperlink ref="E19" location="DIA!A1" display="DIA"/>
    <hyperlink ref="E9" location="ICE!A1" display="ICE"/>
    <hyperlink ref="E58" location="NKE!A1" display="NKE"/>
    <hyperlink ref="E5" location="MOS!A1" display="MOS"/>
    <hyperlink ref="E59" location="VGK!A1" display="VGK"/>
    <hyperlink ref="E60" location="CMG!A1" display="CMG"/>
    <hyperlink ref="E3" location="HAS!A1" display="HAS"/>
    <hyperlink ref="E13" location="HSIC!A1" display="HSIC"/>
    <hyperlink ref="E12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8" location="SPY!A1" display="SPY"/>
    <hyperlink ref="E67" location="SWKS!A1" display="SWKS"/>
    <hyperlink ref="E68" location="CNI!A1" display="CNI"/>
    <hyperlink ref="E20" location="WFC!A1" display="WFC"/>
    <hyperlink ref="E69" location="AA!A1" display="AA"/>
    <hyperlink ref="E70" location="CF!A1" display="CF"/>
    <hyperlink ref="E7" location="TGT!A1" display="TGT"/>
    <hyperlink ref="E17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32" location="DAL!A1" display="DAL"/>
    <hyperlink ref="E24" location="TEVA!A1" display="TEVA"/>
    <hyperlink ref="E77" location="DIS!A1" display="DIS"/>
    <hyperlink ref="E78" location="FTR!A1" display="FTR"/>
    <hyperlink ref="E34" location="GILD!A1" display="GILD"/>
    <hyperlink ref="E79" location="WWD!A1" display="WWD"/>
    <hyperlink ref="E22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47" activePane="bottomLeft" state="frozen"/>
      <selection activeCell="E5" sqref="E5"/>
      <selection pane="bottomLeft" activeCell="AB267" sqref="AB26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39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6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6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6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6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4" t="s">
        <v>15</v>
      </c>
      <c r="B141" s="364">
        <v>42153</v>
      </c>
      <c r="C141" s="365">
        <v>1</v>
      </c>
      <c r="D141" s="366">
        <v>26.75</v>
      </c>
      <c r="E141" s="366">
        <v>0</v>
      </c>
      <c r="F141" s="366">
        <f>C141*D141</f>
        <v>26.75</v>
      </c>
      <c r="G141" s="364">
        <v>42226</v>
      </c>
      <c r="H141" s="365">
        <v>170</v>
      </c>
      <c r="I141" s="365">
        <v>22.35</v>
      </c>
      <c r="J141" s="366">
        <v>7.0000000000000007E-2</v>
      </c>
      <c r="K141" s="365">
        <f t="shared" ref="K141:K148" si="7">H141*I141-J141</f>
        <v>3799.4300000000003</v>
      </c>
      <c r="L141" s="365" t="s">
        <v>80</v>
      </c>
      <c r="M141" s="365"/>
      <c r="N141" s="365"/>
      <c r="O141" s="365"/>
      <c r="P141" s="81"/>
    </row>
    <row r="142" spans="1:16" ht="18" customHeight="1" x14ac:dyDescent="0.25">
      <c r="A142" s="375"/>
      <c r="B142" s="364">
        <v>42173</v>
      </c>
      <c r="C142" s="365">
        <v>19</v>
      </c>
      <c r="D142" s="366">
        <v>24.84</v>
      </c>
      <c r="E142" s="366">
        <v>0</v>
      </c>
      <c r="F142" s="366">
        <f t="shared" ref="F142:F155" si="8">C142*D142</f>
        <v>471.96</v>
      </c>
      <c r="G142" s="364">
        <v>42263</v>
      </c>
      <c r="H142" s="365">
        <v>120</v>
      </c>
      <c r="I142" s="365">
        <v>19.28</v>
      </c>
      <c r="J142" s="365">
        <v>0.04</v>
      </c>
      <c r="K142" s="365">
        <f t="shared" si="7"/>
        <v>2313.5600000000004</v>
      </c>
      <c r="L142" s="365"/>
      <c r="M142" s="365"/>
      <c r="N142" s="365"/>
      <c r="O142" s="365"/>
      <c r="P142" s="81"/>
    </row>
    <row r="143" spans="1:16" ht="18" customHeight="1" x14ac:dyDescent="0.25">
      <c r="A143" s="365"/>
      <c r="B143" s="364">
        <v>42184</v>
      </c>
      <c r="C143" s="365">
        <v>10</v>
      </c>
      <c r="D143" s="366">
        <v>24.33</v>
      </c>
      <c r="E143" s="366">
        <v>0</v>
      </c>
      <c r="F143" s="366">
        <f t="shared" si="8"/>
        <v>243.29999999999998</v>
      </c>
      <c r="G143" s="364">
        <v>42284</v>
      </c>
      <c r="H143" s="365">
        <v>40</v>
      </c>
      <c r="I143" s="365">
        <v>20.45</v>
      </c>
      <c r="J143" s="365">
        <v>0.02</v>
      </c>
      <c r="K143" s="365">
        <f t="shared" si="7"/>
        <v>817.98</v>
      </c>
      <c r="L143" s="365"/>
      <c r="M143" s="365"/>
      <c r="N143" s="365"/>
      <c r="O143" s="365"/>
      <c r="P143" s="81"/>
    </row>
    <row r="144" spans="1:16" ht="18" customHeight="1" x14ac:dyDescent="0.25">
      <c r="A144" s="365"/>
      <c r="B144" s="364">
        <v>42185</v>
      </c>
      <c r="C144" s="365">
        <v>5</v>
      </c>
      <c r="D144" s="366">
        <v>23.82</v>
      </c>
      <c r="E144" s="366">
        <v>0</v>
      </c>
      <c r="F144" s="366">
        <f t="shared" si="8"/>
        <v>119.1</v>
      </c>
      <c r="G144" s="364">
        <v>42285</v>
      </c>
      <c r="H144" s="365">
        <v>80</v>
      </c>
      <c r="I144" s="366">
        <v>21.14</v>
      </c>
      <c r="J144" s="366">
        <v>0.03</v>
      </c>
      <c r="K144" s="365">
        <f t="shared" si="7"/>
        <v>1691.17</v>
      </c>
      <c r="L144" s="365"/>
      <c r="M144" s="365"/>
      <c r="N144" s="365"/>
      <c r="O144" s="365"/>
      <c r="P144" s="81"/>
    </row>
    <row r="145" spans="1:17" ht="18" customHeight="1" x14ac:dyDescent="0.25">
      <c r="A145" s="365"/>
      <c r="B145" s="364">
        <v>42185</v>
      </c>
      <c r="C145" s="365">
        <v>15</v>
      </c>
      <c r="D145" s="366">
        <v>23.71</v>
      </c>
      <c r="E145" s="366">
        <v>0</v>
      </c>
      <c r="F145" s="366">
        <f t="shared" si="8"/>
        <v>355.65000000000003</v>
      </c>
      <c r="G145" s="364">
        <v>42010</v>
      </c>
      <c r="H145" s="365">
        <v>60</v>
      </c>
      <c r="I145" s="365">
        <v>17.760000000000002</v>
      </c>
      <c r="J145" s="365">
        <v>0.02</v>
      </c>
      <c r="K145" s="365">
        <f t="shared" si="7"/>
        <v>1065.5800000000002</v>
      </c>
      <c r="L145" s="365"/>
      <c r="M145" s="365"/>
      <c r="N145" s="365"/>
      <c r="O145" s="365"/>
      <c r="P145" s="81"/>
    </row>
    <row r="146" spans="1:17" ht="18" customHeight="1" x14ac:dyDescent="0.25">
      <c r="A146" s="365"/>
      <c r="B146" s="364">
        <v>42185</v>
      </c>
      <c r="C146" s="365">
        <v>30</v>
      </c>
      <c r="D146" s="366">
        <v>23.65</v>
      </c>
      <c r="E146" s="366">
        <v>0</v>
      </c>
      <c r="F146" s="366">
        <f t="shared" si="8"/>
        <v>709.5</v>
      </c>
      <c r="G146" s="364">
        <v>42398</v>
      </c>
      <c r="H146" s="365">
        <v>60</v>
      </c>
      <c r="I146" s="365">
        <v>17.559999999999999</v>
      </c>
      <c r="J146" s="365">
        <v>0.02</v>
      </c>
      <c r="K146" s="365">
        <f t="shared" si="7"/>
        <v>1053.58</v>
      </c>
      <c r="L146" s="365"/>
      <c r="M146" s="365"/>
      <c r="N146" s="365"/>
      <c r="O146" s="365"/>
      <c r="P146" s="81"/>
    </row>
    <row r="147" spans="1:17" ht="18" customHeight="1" x14ac:dyDescent="0.25">
      <c r="A147" s="365"/>
      <c r="B147" s="364">
        <v>42185</v>
      </c>
      <c r="C147" s="365">
        <v>40</v>
      </c>
      <c r="D147" s="366">
        <v>23.2</v>
      </c>
      <c r="E147" s="366">
        <v>0</v>
      </c>
      <c r="F147" s="366">
        <f t="shared" si="8"/>
        <v>928</v>
      </c>
      <c r="G147" s="364">
        <v>42416</v>
      </c>
      <c r="H147" s="365">
        <v>60</v>
      </c>
      <c r="I147" s="365">
        <v>16.82</v>
      </c>
      <c r="J147" s="365">
        <v>0.02</v>
      </c>
      <c r="K147" s="365">
        <f t="shared" si="7"/>
        <v>1009.1800000000001</v>
      </c>
      <c r="L147" s="365"/>
      <c r="M147" s="365"/>
      <c r="N147" s="365"/>
      <c r="O147" s="365"/>
      <c r="P147" s="81"/>
    </row>
    <row r="148" spans="1:17" ht="18" customHeight="1" x14ac:dyDescent="0.25">
      <c r="A148" s="365"/>
      <c r="B148" s="364">
        <v>42185</v>
      </c>
      <c r="C148" s="365">
        <v>50</v>
      </c>
      <c r="D148" s="366">
        <v>22.94</v>
      </c>
      <c r="E148" s="366">
        <v>0</v>
      </c>
      <c r="F148" s="366">
        <f t="shared" si="8"/>
        <v>1147</v>
      </c>
      <c r="G148" s="364">
        <v>42423</v>
      </c>
      <c r="H148" s="365">
        <v>60</v>
      </c>
      <c r="I148" s="365">
        <v>17.84</v>
      </c>
      <c r="J148" s="365">
        <v>0.02</v>
      </c>
      <c r="K148" s="365">
        <f t="shared" si="7"/>
        <v>1070.3800000000001</v>
      </c>
      <c r="L148" s="365"/>
      <c r="M148" s="365"/>
      <c r="N148" s="365"/>
      <c r="O148" s="365"/>
      <c r="P148" s="81"/>
    </row>
    <row r="149" spans="1:17" ht="18" customHeight="1" x14ac:dyDescent="0.25">
      <c r="A149" s="365"/>
      <c r="B149" s="364">
        <v>42209</v>
      </c>
      <c r="C149" s="365">
        <v>50</v>
      </c>
      <c r="D149" s="366">
        <v>19.75</v>
      </c>
      <c r="E149" s="366">
        <v>0</v>
      </c>
      <c r="F149" s="366">
        <f t="shared" si="8"/>
        <v>987.5</v>
      </c>
      <c r="G149" s="365"/>
      <c r="H149" s="365"/>
      <c r="I149" s="365"/>
      <c r="J149" s="365"/>
      <c r="K149" s="365"/>
      <c r="L149" s="365"/>
      <c r="M149" s="365"/>
      <c r="N149" s="365"/>
      <c r="O149" s="365"/>
      <c r="P149" s="81"/>
    </row>
    <row r="150" spans="1:17" ht="18" customHeight="1" x14ac:dyDescent="0.25">
      <c r="A150" s="365"/>
      <c r="B150" s="364">
        <v>42212</v>
      </c>
      <c r="C150" s="365">
        <v>30</v>
      </c>
      <c r="D150" s="366">
        <v>19.2</v>
      </c>
      <c r="E150" s="366">
        <v>0</v>
      </c>
      <c r="F150" s="366">
        <f t="shared" si="8"/>
        <v>576</v>
      </c>
      <c r="G150" s="365"/>
      <c r="H150" s="365"/>
      <c r="I150" s="365"/>
      <c r="J150" s="365"/>
      <c r="K150" s="365"/>
      <c r="L150" s="365"/>
      <c r="M150" s="365"/>
      <c r="N150" s="365"/>
      <c r="O150" s="365"/>
      <c r="P150" s="81"/>
    </row>
    <row r="151" spans="1:17" ht="18" customHeight="1" x14ac:dyDescent="0.25">
      <c r="A151" s="365"/>
      <c r="B151" s="364">
        <v>42240</v>
      </c>
      <c r="C151" s="365">
        <v>40</v>
      </c>
      <c r="D151" s="366">
        <v>19.93</v>
      </c>
      <c r="E151" s="366">
        <v>0</v>
      </c>
      <c r="F151" s="366">
        <f t="shared" si="8"/>
        <v>797.2</v>
      </c>
      <c r="G151" s="365"/>
      <c r="H151" s="365"/>
      <c r="I151" s="365"/>
      <c r="J151" s="365"/>
      <c r="K151" s="365"/>
      <c r="L151" s="365"/>
      <c r="M151" s="365"/>
      <c r="N151" s="365"/>
      <c r="O151" s="365"/>
      <c r="P151" s="81"/>
    </row>
    <row r="152" spans="1:17" ht="18" customHeight="1" x14ac:dyDescent="0.25">
      <c r="A152" s="365"/>
      <c r="B152" s="364">
        <v>42261</v>
      </c>
      <c r="C152" s="365">
        <v>120</v>
      </c>
      <c r="D152" s="366">
        <v>18.7</v>
      </c>
      <c r="E152" s="366">
        <v>0</v>
      </c>
      <c r="F152" s="366">
        <f t="shared" si="8"/>
        <v>2244</v>
      </c>
      <c r="G152" s="365"/>
      <c r="H152" s="365"/>
      <c r="I152" s="365"/>
      <c r="J152" s="365"/>
      <c r="K152" s="365"/>
      <c r="L152" s="365"/>
      <c r="M152" s="365"/>
      <c r="N152" s="365"/>
      <c r="O152" s="365"/>
      <c r="P152" s="81"/>
    </row>
    <row r="153" spans="1:17" ht="18" customHeight="1" x14ac:dyDescent="0.25">
      <c r="A153" s="365"/>
      <c r="B153" s="364">
        <v>42349</v>
      </c>
      <c r="C153" s="365">
        <v>60</v>
      </c>
      <c r="D153" s="366">
        <v>18.04</v>
      </c>
      <c r="E153" s="366">
        <v>0</v>
      </c>
      <c r="F153" s="366">
        <f t="shared" si="8"/>
        <v>1082.3999999999999</v>
      </c>
      <c r="G153" s="365"/>
      <c r="H153" s="365"/>
      <c r="I153" s="365"/>
      <c r="J153" s="365"/>
      <c r="K153" s="365"/>
      <c r="L153" s="365"/>
      <c r="M153" s="365"/>
      <c r="N153" s="365"/>
      <c r="O153" s="365"/>
      <c r="P153" s="81"/>
    </row>
    <row r="154" spans="1:17" ht="18" customHeight="1" x14ac:dyDescent="0.25">
      <c r="A154" s="365"/>
      <c r="B154" s="364">
        <v>42362</v>
      </c>
      <c r="C154" s="365">
        <v>120</v>
      </c>
      <c r="D154" s="366">
        <v>17.079999999999998</v>
      </c>
      <c r="E154" s="366">
        <v>0</v>
      </c>
      <c r="F154" s="366">
        <f t="shared" si="8"/>
        <v>2049.6</v>
      </c>
      <c r="G154" s="365"/>
      <c r="H154" s="365"/>
      <c r="I154" s="365"/>
      <c r="J154" s="365"/>
      <c r="K154" s="365"/>
      <c r="L154" s="365"/>
      <c r="M154" s="365"/>
      <c r="N154" s="365"/>
      <c r="O154" s="365"/>
      <c r="P154" s="81"/>
    </row>
    <row r="155" spans="1:17" ht="18" customHeight="1" x14ac:dyDescent="0.25">
      <c r="A155" s="365"/>
      <c r="B155" s="364">
        <v>42409</v>
      </c>
      <c r="C155" s="365">
        <v>60</v>
      </c>
      <c r="D155" s="366">
        <v>15.45</v>
      </c>
      <c r="E155" s="366">
        <v>0</v>
      </c>
      <c r="F155" s="366">
        <f t="shared" si="8"/>
        <v>927</v>
      </c>
      <c r="G155" s="365"/>
      <c r="H155" s="365"/>
      <c r="I155" s="365"/>
      <c r="J155" s="365"/>
      <c r="K155" s="365"/>
      <c r="L155" s="365"/>
      <c r="M155" s="365"/>
      <c r="N155" s="365"/>
      <c r="O155" s="365"/>
      <c r="P155" s="81"/>
    </row>
    <row r="156" spans="1:17" ht="18" customHeight="1" x14ac:dyDescent="0.25">
      <c r="A156" s="365"/>
      <c r="B156" s="365"/>
      <c r="C156" s="365"/>
      <c r="D156" s="366"/>
      <c r="E156" s="366"/>
      <c r="F156" s="366"/>
      <c r="G156" s="365"/>
      <c r="H156" s="365"/>
      <c r="I156" s="365"/>
      <c r="J156" s="365"/>
      <c r="K156" s="365"/>
      <c r="L156" s="365"/>
      <c r="M156" s="365"/>
      <c r="N156" s="365"/>
      <c r="O156" s="365"/>
      <c r="P156" s="81"/>
    </row>
    <row r="157" spans="1:17" ht="18" customHeight="1" x14ac:dyDescent="0.25">
      <c r="A157" s="365"/>
      <c r="B157" s="365"/>
      <c r="C157" s="365"/>
      <c r="D157" s="366"/>
      <c r="E157" s="366"/>
      <c r="F157" s="366"/>
      <c r="G157" s="365"/>
      <c r="H157" s="365"/>
      <c r="I157" s="365"/>
      <c r="J157" s="365"/>
      <c r="K157" s="365"/>
      <c r="L157" s="365"/>
      <c r="M157" s="365"/>
      <c r="N157" s="365"/>
      <c r="O157" s="36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4" t="s">
        <v>386</v>
      </c>
      <c r="B167" s="655">
        <v>42767</v>
      </c>
      <c r="C167" s="656">
        <v>35</v>
      </c>
      <c r="D167" s="657">
        <v>69.58</v>
      </c>
      <c r="E167" s="657">
        <v>0</v>
      </c>
      <c r="F167" s="657">
        <f>C167*D167+E167</f>
        <v>2435.2999999999997</v>
      </c>
      <c r="G167" s="655">
        <v>42803</v>
      </c>
      <c r="H167" s="658">
        <v>35</v>
      </c>
      <c r="I167" s="657">
        <v>87.78</v>
      </c>
      <c r="J167" s="657">
        <v>7.0000000000000007E-2</v>
      </c>
      <c r="K167" s="657">
        <f>I167*H167-J167</f>
        <v>3072.23</v>
      </c>
      <c r="L167" s="655">
        <v>42829</v>
      </c>
      <c r="M167" s="656">
        <v>14.44</v>
      </c>
      <c r="N167" s="659"/>
      <c r="O167" s="660"/>
    </row>
    <row r="168" spans="1:18" ht="18" customHeight="1" x14ac:dyDescent="0.25">
      <c r="A168" s="661"/>
      <c r="B168" s="656"/>
      <c r="C168" s="661">
        <f>SUM(C167:C167)</f>
        <v>35</v>
      </c>
      <c r="D168" s="662"/>
      <c r="E168" s="662"/>
      <c r="F168" s="662">
        <f>SUM(F167:F167)</f>
        <v>2435.2999999999997</v>
      </c>
      <c r="G168" s="661"/>
      <c r="H168" s="661">
        <f>SUM(H167:H167)</f>
        <v>35</v>
      </c>
      <c r="I168" s="662"/>
      <c r="J168" s="662"/>
      <c r="K168" s="662">
        <f>SUM(K167:K167)</f>
        <v>3072.23</v>
      </c>
      <c r="L168" s="661"/>
      <c r="M168" s="662">
        <f>SUM(M167:M167)</f>
        <v>14.44</v>
      </c>
      <c r="N168" s="652">
        <f>K168-F168</f>
        <v>636.93000000000029</v>
      </c>
      <c r="O168" s="65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6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6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1"/>
      <c r="O227" s="422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3" t="s">
        <v>223</v>
      </c>
      <c r="R251" s="432"/>
      <c r="S251" s="413" t="s">
        <v>218</v>
      </c>
      <c r="T251" s="411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1">
        <v>42449</v>
      </c>
      <c r="R252" s="432">
        <v>0.02</v>
      </c>
      <c r="S252" s="411">
        <v>2015</v>
      </c>
      <c r="T252" s="411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1"/>
      <c r="R253" s="432"/>
      <c r="S253" s="451">
        <v>42278</v>
      </c>
      <c r="T253" s="411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1"/>
      <c r="R254" s="432"/>
      <c r="S254" s="451">
        <v>42309</v>
      </c>
      <c r="T254" s="411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0"/>
      <c r="R255" s="432"/>
      <c r="S255" s="451">
        <v>42339</v>
      </c>
      <c r="T255" s="411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0"/>
      <c r="R256" s="432"/>
      <c r="S256" s="451">
        <v>42370</v>
      </c>
      <c r="T256" s="411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0"/>
      <c r="R257" s="432"/>
      <c r="S257" s="451">
        <v>42401</v>
      </c>
      <c r="T257" s="411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0"/>
      <c r="R258" s="432"/>
      <c r="S258" s="451">
        <v>42430</v>
      </c>
      <c r="T258" s="411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0"/>
      <c r="R259" s="432"/>
      <c r="S259" s="451">
        <v>42461</v>
      </c>
      <c r="T259" s="411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0"/>
      <c r="R260" s="432"/>
      <c r="S260" s="451">
        <v>42491</v>
      </c>
      <c r="T260" s="411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0"/>
      <c r="R261" s="432"/>
      <c r="S261" s="451">
        <v>42552</v>
      </c>
      <c r="T261" s="411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0"/>
      <c r="R262" s="432"/>
      <c r="S262" s="451">
        <v>42580</v>
      </c>
      <c r="T262" s="411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0"/>
      <c r="R263" s="432"/>
      <c r="S263" s="451">
        <v>42582</v>
      </c>
      <c r="T263" s="41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0"/>
      <c r="R264" s="432"/>
      <c r="S264" s="451">
        <v>42608</v>
      </c>
      <c r="T264" s="41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0"/>
      <c r="R265" s="432"/>
      <c r="S265" s="451">
        <v>42614</v>
      </c>
      <c r="T265" s="411">
        <v>0.23</v>
      </c>
    </row>
    <row r="266" spans="1:21" ht="18" customHeight="1" x14ac:dyDescent="0.25">
      <c r="M266" s="25" t="s">
        <v>152</v>
      </c>
      <c r="N266" s="508">
        <f>T302</f>
        <v>1100.9800000000005</v>
      </c>
      <c r="Q266" s="350"/>
      <c r="R266" s="432"/>
      <c r="S266" s="451">
        <v>42639</v>
      </c>
      <c r="T266" s="411">
        <v>0.56999999999999995</v>
      </c>
    </row>
    <row r="267" spans="1:21" ht="18" customHeight="1" x14ac:dyDescent="0.25">
      <c r="M267" s="25" t="s">
        <v>129</v>
      </c>
      <c r="N267" s="141">
        <f>SUM(ACTIVE!L:L)</f>
        <v>45073.541666668316</v>
      </c>
      <c r="Q267" s="350"/>
      <c r="R267" s="432"/>
      <c r="S267" s="451">
        <v>42644</v>
      </c>
      <c r="T267" s="411">
        <v>0.14000000000000001</v>
      </c>
    </row>
    <row r="268" spans="1:21" ht="18" customHeight="1" x14ac:dyDescent="0.25">
      <c r="Q268" s="350"/>
      <c r="R268" s="432"/>
      <c r="S268" s="451">
        <v>42674</v>
      </c>
      <c r="T268" s="411">
        <v>0.45</v>
      </c>
    </row>
    <row r="269" spans="1:21" ht="18" customHeight="1" x14ac:dyDescent="0.25">
      <c r="M269" s="25" t="s">
        <v>143</v>
      </c>
      <c r="N269" s="141">
        <f>SUM(N264:N267)</f>
        <v>43862.341666668384</v>
      </c>
      <c r="Q269" s="350"/>
      <c r="R269" s="432"/>
      <c r="S269" s="451">
        <v>42704</v>
      </c>
      <c r="T269" s="411">
        <v>0.43</v>
      </c>
    </row>
    <row r="270" spans="1:21" ht="18" customHeight="1" x14ac:dyDescent="0.25">
      <c r="M270" s="25" t="s">
        <v>144</v>
      </c>
      <c r="N270" s="141">
        <f>Balance!AA2</f>
        <v>43860.830000000016</v>
      </c>
      <c r="Q270" s="350"/>
      <c r="R270" s="432"/>
      <c r="S270" s="451">
        <v>43099</v>
      </c>
      <c r="T270" s="411">
        <v>0.64</v>
      </c>
    </row>
    <row r="271" spans="1:21" ht="18" customHeight="1" x14ac:dyDescent="0.25">
      <c r="M271" s="25" t="s">
        <v>191</v>
      </c>
      <c r="N271" s="509">
        <f>1.5+R302</f>
        <v>1.52</v>
      </c>
      <c r="O271" s="341"/>
      <c r="Q271" s="350"/>
      <c r="R271" s="432"/>
      <c r="S271" s="451">
        <v>42760</v>
      </c>
      <c r="T271" s="411">
        <v>0.56999999999999995</v>
      </c>
    </row>
    <row r="272" spans="1:21" ht="18" customHeight="1" x14ac:dyDescent="0.25">
      <c r="Q272" s="350"/>
      <c r="R272" s="432"/>
      <c r="S272" s="451">
        <v>42767</v>
      </c>
      <c r="T272" s="411">
        <v>0.12</v>
      </c>
    </row>
    <row r="273" spans="13:20" ht="18" customHeight="1" x14ac:dyDescent="0.25">
      <c r="M273" s="25" t="s">
        <v>131</v>
      </c>
      <c r="N273" s="510">
        <f>N269-N271-N270</f>
        <v>-8.3333316288189963E-3</v>
      </c>
      <c r="Q273" s="350"/>
      <c r="R273" s="432"/>
      <c r="S273" s="451">
        <v>42794</v>
      </c>
      <c r="T273" s="411">
        <v>0.28000000000000003</v>
      </c>
    </row>
    <row r="274" spans="13:20" ht="18" customHeight="1" x14ac:dyDescent="0.25">
      <c r="Q274" s="350"/>
      <c r="R274" s="432"/>
      <c r="S274" s="451">
        <v>42824</v>
      </c>
      <c r="T274" s="411">
        <v>0.81</v>
      </c>
    </row>
    <row r="275" spans="13:20" ht="18" customHeight="1" x14ac:dyDescent="0.25">
      <c r="Q275" s="350"/>
      <c r="R275" s="432"/>
      <c r="S275" s="451">
        <v>42851</v>
      </c>
      <c r="T275" s="411">
        <v>0.93</v>
      </c>
    </row>
    <row r="276" spans="13:20" ht="18" customHeight="1" x14ac:dyDescent="0.25">
      <c r="Q276" s="350"/>
      <c r="R276" s="432"/>
      <c r="S276" s="451">
        <v>42853</v>
      </c>
      <c r="T276" s="411">
        <v>7.0000000000000007E-2</v>
      </c>
    </row>
    <row r="277" spans="13:20" ht="18" customHeight="1" x14ac:dyDescent="0.25">
      <c r="Q277" s="350"/>
      <c r="R277" s="432"/>
      <c r="S277" s="451">
        <v>42877</v>
      </c>
      <c r="T277" s="411">
        <v>0.56000000000000005</v>
      </c>
    </row>
    <row r="278" spans="13:20" ht="18" customHeight="1" x14ac:dyDescent="0.25">
      <c r="Q278" s="350"/>
      <c r="R278" s="432"/>
      <c r="S278" s="451">
        <v>42887</v>
      </c>
      <c r="T278" s="411">
        <v>0.24</v>
      </c>
    </row>
    <row r="279" spans="13:20" ht="18" customHeight="1" x14ac:dyDescent="0.25">
      <c r="Q279" s="350"/>
      <c r="R279" s="432"/>
      <c r="S279" s="451">
        <v>42908</v>
      </c>
      <c r="T279" s="411">
        <v>0.42</v>
      </c>
    </row>
    <row r="280" spans="13:20" ht="18" customHeight="1" x14ac:dyDescent="0.25">
      <c r="Q280" s="350"/>
      <c r="R280" s="432"/>
      <c r="S280" s="451">
        <v>42916</v>
      </c>
      <c r="T280" s="411">
        <v>1.02</v>
      </c>
    </row>
    <row r="281" spans="13:20" ht="18" customHeight="1" x14ac:dyDescent="0.25">
      <c r="Q281" s="350"/>
      <c r="R281" s="432"/>
      <c r="S281" s="451">
        <v>42947</v>
      </c>
      <c r="T281" s="411">
        <v>7.97</v>
      </c>
    </row>
    <row r="282" spans="13:20" ht="18" customHeight="1" x14ac:dyDescent="0.25">
      <c r="Q282" s="350"/>
      <c r="R282" s="432"/>
      <c r="S282" s="451">
        <v>42965</v>
      </c>
      <c r="T282" s="411">
        <v>3.88</v>
      </c>
    </row>
    <row r="283" spans="13:20" ht="18" customHeight="1" x14ac:dyDescent="0.25">
      <c r="Q283" s="350"/>
      <c r="R283" s="432"/>
      <c r="S283" s="451">
        <v>42978</v>
      </c>
      <c r="T283" s="411">
        <v>2.72</v>
      </c>
    </row>
    <row r="284" spans="13:20" ht="18" customHeight="1" x14ac:dyDescent="0.25">
      <c r="Q284" s="350"/>
      <c r="R284" s="432"/>
      <c r="S284" s="451">
        <v>43007</v>
      </c>
      <c r="T284" s="411">
        <v>7.89</v>
      </c>
    </row>
    <row r="285" spans="13:20" ht="18" customHeight="1" x14ac:dyDescent="0.25">
      <c r="Q285" s="350"/>
      <c r="R285" s="432"/>
      <c r="S285" s="451">
        <v>43035</v>
      </c>
      <c r="T285" s="411">
        <v>10.63</v>
      </c>
    </row>
    <row r="286" spans="13:20" ht="18" customHeight="1" x14ac:dyDescent="0.25">
      <c r="Q286" s="350"/>
      <c r="R286" s="432"/>
      <c r="S286" s="451">
        <v>43039</v>
      </c>
      <c r="T286" s="411">
        <v>0.96</v>
      </c>
    </row>
    <row r="287" spans="13:20" ht="18" customHeight="1" x14ac:dyDescent="0.25">
      <c r="Q287" s="350"/>
      <c r="R287" s="432"/>
      <c r="S287" s="451">
        <v>11628</v>
      </c>
      <c r="T287" s="411">
        <v>5.66</v>
      </c>
    </row>
    <row r="288" spans="13:20" ht="18" customHeight="1" x14ac:dyDescent="0.25">
      <c r="Q288" s="350"/>
      <c r="R288" s="432"/>
      <c r="S288" s="451">
        <v>43098</v>
      </c>
      <c r="T288" s="411">
        <v>9.77</v>
      </c>
    </row>
    <row r="289" spans="1:20" ht="18" customHeight="1" x14ac:dyDescent="0.25">
      <c r="Q289" s="350"/>
      <c r="R289" s="432"/>
      <c r="S289" s="451">
        <v>43132</v>
      </c>
      <c r="T289" s="411">
        <v>16.059999999999999</v>
      </c>
    </row>
    <row r="290" spans="1:20" ht="18" customHeight="1" x14ac:dyDescent="0.25">
      <c r="Q290" s="350"/>
      <c r="R290" s="432"/>
      <c r="S290" s="451">
        <v>43139</v>
      </c>
      <c r="T290" s="411">
        <v>4.05</v>
      </c>
    </row>
    <row r="291" spans="1:20" ht="18" customHeight="1" x14ac:dyDescent="0.25">
      <c r="Q291" s="350"/>
      <c r="R291" s="432"/>
      <c r="S291" s="451">
        <v>43149</v>
      </c>
      <c r="T291" s="411">
        <v>10.16</v>
      </c>
    </row>
    <row r="292" spans="1:20" ht="18" customHeight="1" x14ac:dyDescent="0.25">
      <c r="Q292" s="350"/>
      <c r="R292" s="432"/>
      <c r="S292" s="451">
        <v>43171</v>
      </c>
      <c r="T292" s="411">
        <v>4.3600000000000003</v>
      </c>
    </row>
    <row r="293" spans="1:20" ht="18" customHeight="1" x14ac:dyDescent="0.25">
      <c r="Q293" s="350"/>
      <c r="R293" s="432"/>
      <c r="S293" s="451">
        <v>43191</v>
      </c>
      <c r="T293" s="411">
        <v>2.91</v>
      </c>
    </row>
    <row r="294" spans="1:20" ht="18" customHeight="1" x14ac:dyDescent="0.25">
      <c r="Q294" s="350"/>
      <c r="R294" s="432"/>
      <c r="S294" s="451"/>
      <c r="T294" s="411"/>
    </row>
    <row r="295" spans="1:20" ht="18" customHeight="1" x14ac:dyDescent="0.25">
      <c r="Q295" s="350"/>
      <c r="R295" s="432"/>
      <c r="S295" s="451"/>
      <c r="T295" s="411"/>
    </row>
    <row r="296" spans="1:20" ht="18" customHeight="1" x14ac:dyDescent="0.25">
      <c r="A296" s="485"/>
      <c r="Q296" s="350"/>
      <c r="R296" s="432"/>
      <c r="S296" s="451"/>
      <c r="T296" s="411"/>
    </row>
    <row r="297" spans="1:20" ht="18" customHeight="1" x14ac:dyDescent="0.25">
      <c r="A297" s="486"/>
      <c r="Q297" s="350"/>
      <c r="R297" s="432"/>
      <c r="S297" s="451"/>
      <c r="T297" s="411"/>
    </row>
    <row r="298" spans="1:20" ht="18" customHeight="1" x14ac:dyDescent="0.25">
      <c r="A298" s="486"/>
      <c r="Q298" s="350"/>
      <c r="R298" s="432"/>
      <c r="S298" s="451"/>
      <c r="T298" s="411"/>
    </row>
    <row r="299" spans="1:20" ht="18" customHeight="1" x14ac:dyDescent="0.25">
      <c r="A299" s="485"/>
      <c r="Q299" s="350"/>
      <c r="R299" s="432"/>
      <c r="S299" s="451"/>
      <c r="T299" s="411"/>
    </row>
    <row r="300" spans="1:20" ht="18" customHeight="1" x14ac:dyDescent="0.25">
      <c r="A300" s="486"/>
      <c r="Q300" s="350"/>
      <c r="R300" s="432"/>
      <c r="S300" s="451"/>
      <c r="T300" s="411"/>
    </row>
    <row r="301" spans="1:20" ht="18" customHeight="1" x14ac:dyDescent="0.25">
      <c r="A301" s="486"/>
      <c r="Q301" s="350"/>
      <c r="R301" s="432"/>
      <c r="S301" s="451"/>
      <c r="T301" s="411"/>
    </row>
    <row r="302" spans="1:20" ht="18" customHeight="1" x14ac:dyDescent="0.25">
      <c r="A302" s="485"/>
      <c r="Q302" s="350" t="s">
        <v>81</v>
      </c>
      <c r="R302" s="432">
        <f>SUM(R252:R271)</f>
        <v>0.02</v>
      </c>
      <c r="S302" s="412" t="s">
        <v>81</v>
      </c>
      <c r="T302" s="411">
        <f>SUM(T252:T301)</f>
        <v>1100.9800000000005</v>
      </c>
    </row>
    <row r="303" spans="1:20" ht="18" customHeight="1" x14ac:dyDescent="0.25">
      <c r="A303" s="486"/>
    </row>
    <row r="304" spans="1:20" ht="18" customHeight="1" x14ac:dyDescent="0.25">
      <c r="A304" s="486"/>
    </row>
    <row r="305" spans="1:1" ht="18" customHeight="1" x14ac:dyDescent="0.25">
      <c r="A305" s="486"/>
    </row>
  </sheetData>
  <mergeCells count="3">
    <mergeCell ref="B12:B13"/>
    <mergeCell ref="B14:B15"/>
    <mergeCell ref="B185:B186"/>
  </mergeCells>
  <conditionalFormatting sqref="Q13">
    <cfRule type="expression" dxfId="2451" priority="7">
      <formula>#REF!&gt;0</formula>
    </cfRule>
    <cfRule type="expression" dxfId="245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25"/>
  <sheetViews>
    <sheetView tabSelected="1" topLeftCell="E1" zoomScaleNormal="100" workbookViewId="0">
      <pane ySplit="1" topLeftCell="A609" activePane="bottomLeft" state="frozen"/>
      <selection pane="bottomLeft" activeCell="L628" sqref="L628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792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974</v>
      </c>
      <c r="Y1" s="339" t="s">
        <v>973</v>
      </c>
      <c r="Z1" s="339" t="s">
        <v>950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2"/>
      <c r="AA2" s="331">
        <f>LOOKUP(2,1/(M:M&lt;&gt;""),M:M)</f>
        <v>43860.830000000016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0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2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2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2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2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3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3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7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3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3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3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66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2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2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2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2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2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3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3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3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3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2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2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2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2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2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4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4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4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4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4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4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4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67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4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4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4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4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4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4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4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4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4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4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4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4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4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4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4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4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4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4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4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4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4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4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67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4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4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4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4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4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4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4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4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4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4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4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4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4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4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4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4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4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4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4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4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5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4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4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4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4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4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4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4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4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4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4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4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4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4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4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4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4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4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4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4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4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4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4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09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4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4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4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4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4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4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4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4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4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4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4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4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4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4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4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4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4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4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4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09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4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4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4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4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4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4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4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4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4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4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4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4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4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4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4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4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4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4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4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4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08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4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4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4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4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4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4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4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4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4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4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4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4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4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4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4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4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4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4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4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4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4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4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4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4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4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4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4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4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4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4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4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4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4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4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4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4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4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4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4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4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4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4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4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4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4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4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4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4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4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4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4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4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4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4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4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4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4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4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4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4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4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4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4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4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4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4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5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4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4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4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4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4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4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4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4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4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4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4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4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4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4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4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4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4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4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4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4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4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4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5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4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4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4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4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4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4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4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4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4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4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4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4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4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4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4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4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4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4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4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4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09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4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4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4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4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4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4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4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4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4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4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4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4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4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4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4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4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4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4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4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4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4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4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4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4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4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4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4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4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4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4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4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4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4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4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4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4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4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4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4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4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4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4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4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4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4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4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4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4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4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4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4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4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4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4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4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4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4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4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4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4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09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4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4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4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4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4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3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4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4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4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5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5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4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4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4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3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4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3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4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3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4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3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4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3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4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4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4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4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4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4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3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4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3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4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3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4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3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4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3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4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4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4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4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5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5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4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3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4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3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4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3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4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3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4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4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4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4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4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4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3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4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3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4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3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4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3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4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4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4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4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4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4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3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4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3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4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4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3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76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4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3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76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4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3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76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4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4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4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4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4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4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3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76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4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3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76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4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3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76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4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3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76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4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3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76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4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4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4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4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4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3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76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4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2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08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4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3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76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4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3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76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4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3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76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4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4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4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4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4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4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3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76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4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3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76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4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3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76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4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3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76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4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3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76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4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4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4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4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4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4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3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76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4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3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76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4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3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76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4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3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76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4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3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4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4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4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4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4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4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4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3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76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4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3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76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4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3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76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4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3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76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4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4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4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4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4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4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3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76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4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3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76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4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3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76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4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3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76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4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2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08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4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4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4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4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4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4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3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76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4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3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76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4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3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76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4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3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76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4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3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76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4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4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4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4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4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4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3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76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4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3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76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4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3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76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4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3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76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4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3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76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4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4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09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9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4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4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4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3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76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4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3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76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4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3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76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4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3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76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4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3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76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4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4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4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4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4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4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4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09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9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4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4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4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4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4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4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4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4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4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5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5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4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4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4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4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4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4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4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4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4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4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4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4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4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4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4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4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09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9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4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4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4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4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4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4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4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4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4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4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4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4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4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4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4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4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4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4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4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4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5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5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4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4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4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4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4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4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4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4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4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4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4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4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4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4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4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4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4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4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4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4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4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4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5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5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4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4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4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4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4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4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4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4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4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4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4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4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4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4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4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4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4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4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4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4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4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5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5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4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4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4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4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4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4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4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4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4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4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4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4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4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4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4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4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4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4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4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4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5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5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4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4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4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4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4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4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4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4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4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4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4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4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4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4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4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4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4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4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4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4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4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5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5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4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4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4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4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4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4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4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4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4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4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4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4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4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4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4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4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4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4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4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09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09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4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4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4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4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4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4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4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4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4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4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4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4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4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4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4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4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4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4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4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4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4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09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09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4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4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4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4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4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4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4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4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4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4">
        <f t="shared" ref="Z624" si="2996">-(E624-N624)</f>
        <v>-0.16162414862207714</v>
      </c>
    </row>
    <row r="625" spans="1:26" ht="20.100000000000001" customHeight="1" x14ac:dyDescent="0.25">
      <c r="A625" s="162">
        <f t="shared" ref="A625" si="2997">B625-$B$2</f>
        <v>970</v>
      </c>
      <c r="B625" s="171">
        <v>43203</v>
      </c>
      <c r="C625" s="214">
        <v>2656.3</v>
      </c>
      <c r="D625" s="170">
        <f t="shared" ref="D625" si="2998">(C625-C624)/C624</f>
        <v>-2.8866474724002721E-3</v>
      </c>
      <c r="E625" s="208">
        <f t="shared" ref="E625" si="2999">(C625-$C$2)/$C$2</f>
        <v>0.26343676870683591</v>
      </c>
      <c r="F625" s="218">
        <v>7106.65</v>
      </c>
      <c r="G625" s="170">
        <f t="shared" ref="G625" si="3000">(F625-F624)/F624</f>
        <v>-4.70432366419058E-3</v>
      </c>
      <c r="H625" s="202">
        <f t="shared" ref="H625" si="3001">(F625-F$2)/F$2</f>
        <v>0.39573227016517076</v>
      </c>
      <c r="I625" s="220">
        <v>443860.83</v>
      </c>
      <c r="J625" s="172">
        <v>400000</v>
      </c>
      <c r="K625" s="172">
        <f t="shared" ref="K625" si="3002">I625-I624-J625+J624</f>
        <v>1672.7200000000303</v>
      </c>
      <c r="L625" s="170">
        <f t="shared" ref="L625" si="3003">K625/I624</f>
        <v>3.7828244635524696E-3</v>
      </c>
      <c r="M625" s="181">
        <f t="shared" ref="M625" si="3004">I625-J625</f>
        <v>43860.830000000016</v>
      </c>
      <c r="N625" s="183">
        <f t="shared" ref="N625" si="3005">M625/J625</f>
        <v>0.10965207500000004</v>
      </c>
      <c r="O625" s="182">
        <f t="shared" ref="O625" si="3006">N625/(A625/365.25)</f>
        <v>4.1289093189433003E-2</v>
      </c>
      <c r="P625" s="181" t="b">
        <f t="shared" ref="P625" si="3007">L625&gt;D625</f>
        <v>1</v>
      </c>
      <c r="Q625" s="183">
        <f>COUNTIF(P$2:P625, TRUE)/(COUNTIF(P$2:P625,FALSE) + COUNTIF(P$2:P625, TRUE))</f>
        <v>0.49038461538461536</v>
      </c>
      <c r="R625" s="172">
        <v>379974.29</v>
      </c>
      <c r="S625" s="172">
        <f t="shared" ref="S625" si="3008">I625-R625</f>
        <v>63886.540000000037</v>
      </c>
      <c r="T625" s="172">
        <v>-37097</v>
      </c>
      <c r="U625" s="172">
        <f t="shared" ref="U625" si="3009">M625-T625</f>
        <v>80957.830000000016</v>
      </c>
      <c r="V625" s="183">
        <f>STDEV(D$2:D625)*SQRT(252)</f>
        <v>0.14357072949050406</v>
      </c>
      <c r="W625" s="183">
        <f>STDEV(L$2:L625)*SQRT(252)</f>
        <v>0.27989502416613538</v>
      </c>
      <c r="X625" s="173">
        <f t="shared" ref="X625" si="3010">N625/V625</f>
        <v>0.76374951488459608</v>
      </c>
      <c r="Y625" s="173">
        <f t="shared" ref="Y625" si="3011">O625/W625</f>
        <v>0.14751635300570873</v>
      </c>
      <c r="Z625" s="794">
        <f t="shared" ref="Z625" si="3012">-(E625-N625)</f>
        <v>-0.15378469370683587</v>
      </c>
    </row>
  </sheetData>
  <conditionalFormatting sqref="D3:D625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25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25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25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26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272.39999999999998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272.39999999999998</v>
      </c>
      <c r="R4" s="493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5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5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5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7" t="s">
        <v>78</v>
      </c>
      <c r="P42" s="847"/>
      <c r="T42" s="415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299.64</v>
      </c>
      <c r="Q43" s="2"/>
      <c r="T43" s="415"/>
      <c r="U43" s="473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296.916</v>
      </c>
      <c r="Q44" s="2"/>
      <c r="T44" s="415"/>
      <c r="U44" s="473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294.19200000000001</v>
      </c>
      <c r="Q45" s="2"/>
      <c r="T45" s="415"/>
      <c r="U45" s="473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291.46800000000002</v>
      </c>
      <c r="Q46" s="2"/>
      <c r="T46" s="415"/>
      <c r="U46" s="473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288.74399999999997</v>
      </c>
      <c r="Q47" s="2"/>
      <c r="T47" s="415"/>
      <c r="U47" s="473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286.02</v>
      </c>
      <c r="Q48" s="2"/>
      <c r="T48" s="415"/>
      <c r="U48" s="473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283.29599999999999</v>
      </c>
      <c r="Q49" s="2"/>
      <c r="T49" s="415"/>
      <c r="U49" s="473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280.572</v>
      </c>
      <c r="Q50" s="2"/>
      <c r="T50" s="415"/>
      <c r="U50" s="473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277.84799999999996</v>
      </c>
      <c r="Q51" s="2"/>
      <c r="T51" s="415"/>
      <c r="U51" s="473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275.12399999999997</v>
      </c>
      <c r="Q52" s="2"/>
      <c r="T52" s="415"/>
      <c r="U52" s="473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272.39999999999998</v>
      </c>
      <c r="Q53" s="2"/>
      <c r="U53" s="474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269.67599999999999</v>
      </c>
      <c r="Q54" s="2"/>
      <c r="U54" s="474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266.952</v>
      </c>
      <c r="Q55" s="2"/>
      <c r="U55" s="473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264.22799999999995</v>
      </c>
      <c r="U56" s="473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261.50399999999996</v>
      </c>
      <c r="U57" s="473"/>
    </row>
    <row r="58" spans="1:21" x14ac:dyDescent="0.25">
      <c r="O58" s="81">
        <v>0.95</v>
      </c>
      <c r="P58" s="81">
        <f t="shared" si="3"/>
        <v>258.77999999999997</v>
      </c>
      <c r="U58" s="473"/>
    </row>
    <row r="59" spans="1:21" x14ac:dyDescent="0.25">
      <c r="O59" s="81">
        <v>0.94</v>
      </c>
      <c r="P59" s="81">
        <f t="shared" si="3"/>
        <v>256.05599999999998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253.33199999999999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250.608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247.88399999999999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245.16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4">
        <v>42408</v>
      </c>
      <c r="C69" s="365">
        <v>5</v>
      </c>
      <c r="D69" s="366">
        <v>251.5</v>
      </c>
      <c r="E69" s="366">
        <v>256.52</v>
      </c>
      <c r="F69" s="366">
        <f>C69*(E69-D69)</f>
        <v>25.099999999999909</v>
      </c>
      <c r="G69" s="366">
        <f>D69*C69</f>
        <v>1257.5</v>
      </c>
      <c r="H69" s="367">
        <f>(E69-D69)/D69</f>
        <v>1.9960238568588397E-2</v>
      </c>
      <c r="I69" s="367"/>
    </row>
    <row r="70" spans="2:9" x14ac:dyDescent="0.25">
      <c r="B70" s="364">
        <v>42422</v>
      </c>
      <c r="C70" s="365">
        <v>5</v>
      </c>
      <c r="D70" s="366">
        <v>251.5</v>
      </c>
      <c r="E70" s="366">
        <v>265.83</v>
      </c>
      <c r="F70" s="366">
        <f t="shared" ref="F70:F79" si="6">C70*(E70-D70)</f>
        <v>71.64999999999992</v>
      </c>
      <c r="G70" s="366">
        <f t="shared" ref="G70:G80" si="7">D70*C70</f>
        <v>1257.5</v>
      </c>
      <c r="H70" s="367">
        <f t="shared" ref="H70:H79" si="8">(E70-D70)/D70</f>
        <v>5.6978131212723597E-2</v>
      </c>
      <c r="I70" s="367"/>
    </row>
    <row r="71" spans="2:9" x14ac:dyDescent="0.25">
      <c r="B71" s="364">
        <v>42431</v>
      </c>
      <c r="C71" s="365">
        <v>5</v>
      </c>
      <c r="D71" s="366">
        <v>251.5</v>
      </c>
      <c r="E71" s="366">
        <v>273.66000000000003</v>
      </c>
      <c r="F71" s="366">
        <f t="shared" si="6"/>
        <v>110.80000000000013</v>
      </c>
      <c r="G71" s="366">
        <f t="shared" si="7"/>
        <v>1257.5</v>
      </c>
      <c r="H71" s="367">
        <f t="shared" si="8"/>
        <v>8.8111332007952389E-2</v>
      </c>
      <c r="I71" s="367"/>
    </row>
    <row r="72" spans="2:9" x14ac:dyDescent="0.25">
      <c r="B72" s="364">
        <v>42433</v>
      </c>
      <c r="C72" s="365">
        <v>5</v>
      </c>
      <c r="D72" s="366">
        <v>251.5</v>
      </c>
      <c r="E72" s="366">
        <v>263.94</v>
      </c>
      <c r="F72" s="366">
        <f t="shared" si="6"/>
        <v>62.199999999999989</v>
      </c>
      <c r="G72" s="366">
        <f t="shared" si="7"/>
        <v>1257.5</v>
      </c>
      <c r="H72" s="367">
        <f t="shared" si="8"/>
        <v>4.9463220675944324E-2</v>
      </c>
      <c r="I72" s="367"/>
    </row>
    <row r="73" spans="2:9" x14ac:dyDescent="0.25">
      <c r="B73" s="364">
        <v>42439</v>
      </c>
      <c r="C73" s="365">
        <v>5</v>
      </c>
      <c r="D73" s="366">
        <v>251.5</v>
      </c>
      <c r="E73" s="366">
        <v>251.97</v>
      </c>
      <c r="F73" s="366">
        <f t="shared" si="6"/>
        <v>2.3499999999999943</v>
      </c>
      <c r="G73" s="366">
        <f t="shared" si="7"/>
        <v>1257.5</v>
      </c>
      <c r="H73" s="368">
        <f t="shared" si="8"/>
        <v>1.8687872763419437E-3</v>
      </c>
      <c r="I73" s="368"/>
    </row>
    <row r="74" spans="2:9" x14ac:dyDescent="0.25">
      <c r="B74" s="364">
        <v>42444</v>
      </c>
      <c r="C74" s="365">
        <v>5</v>
      </c>
      <c r="D74" s="366">
        <v>251.5</v>
      </c>
      <c r="E74" s="366">
        <v>250.33</v>
      </c>
      <c r="F74" s="366">
        <f t="shared" si="6"/>
        <v>-5.8499999999999375</v>
      </c>
      <c r="G74" s="366">
        <f t="shared" si="7"/>
        <v>1257.5</v>
      </c>
      <c r="H74" s="368">
        <f t="shared" si="8"/>
        <v>-4.6520874751490556E-3</v>
      </c>
      <c r="I74" s="368"/>
    </row>
    <row r="75" spans="2:9" x14ac:dyDescent="0.25">
      <c r="B75" s="364">
        <v>42446</v>
      </c>
      <c r="C75" s="365">
        <v>15</v>
      </c>
      <c r="D75" s="366">
        <v>245.5333</v>
      </c>
      <c r="E75" s="366">
        <v>246.31</v>
      </c>
      <c r="F75" s="366">
        <f t="shared" si="6"/>
        <v>11.650500000000079</v>
      </c>
      <c r="G75" s="366">
        <f t="shared" si="7"/>
        <v>3682.9994999999999</v>
      </c>
      <c r="H75" s="368">
        <f t="shared" si="8"/>
        <v>3.1633183767741701E-3</v>
      </c>
      <c r="I75" s="368"/>
    </row>
    <row r="76" spans="2:9" x14ac:dyDescent="0.25">
      <c r="B76" s="364">
        <v>42447</v>
      </c>
      <c r="C76" s="365">
        <v>10</v>
      </c>
      <c r="D76" s="366">
        <v>243.50800000000001</v>
      </c>
      <c r="E76" s="366">
        <v>250.78</v>
      </c>
      <c r="F76" s="366">
        <f t="shared" si="6"/>
        <v>72.719999999999914</v>
      </c>
      <c r="G76" s="366">
        <f t="shared" si="7"/>
        <v>2435.08</v>
      </c>
      <c r="H76" s="368">
        <f t="shared" si="8"/>
        <v>2.9863495244509385E-2</v>
      </c>
      <c r="I76" s="368" t="s">
        <v>190</v>
      </c>
    </row>
    <row r="77" spans="2:9" x14ac:dyDescent="0.25">
      <c r="B77" s="364">
        <v>42458</v>
      </c>
      <c r="C77" s="365">
        <v>10</v>
      </c>
      <c r="D77" s="366">
        <v>243.50800000000001</v>
      </c>
      <c r="E77" s="366">
        <v>254.68</v>
      </c>
      <c r="F77" s="366">
        <f t="shared" si="6"/>
        <v>111.71999999999997</v>
      </c>
      <c r="G77" s="366">
        <f t="shared" si="7"/>
        <v>2435.08</v>
      </c>
      <c r="H77" s="368">
        <f t="shared" si="8"/>
        <v>4.587939615946908E-2</v>
      </c>
      <c r="I77" s="368"/>
    </row>
    <row r="78" spans="2:9" x14ac:dyDescent="0.25">
      <c r="B78" s="364">
        <v>42460</v>
      </c>
      <c r="C78" s="365">
        <v>5</v>
      </c>
      <c r="D78" s="366">
        <v>225.80199999999999</v>
      </c>
      <c r="E78" s="366">
        <v>260.32</v>
      </c>
      <c r="F78" s="366">
        <f t="shared" si="6"/>
        <v>172.59</v>
      </c>
      <c r="G78" s="366">
        <f t="shared" si="7"/>
        <v>1129.01</v>
      </c>
      <c r="H78" s="368">
        <f t="shared" si="8"/>
        <v>0.15286844226357607</v>
      </c>
      <c r="I78" s="368"/>
    </row>
    <row r="79" spans="2:9" x14ac:dyDescent="0.25">
      <c r="B79" s="364">
        <v>42469</v>
      </c>
      <c r="C79" s="365">
        <v>5</v>
      </c>
      <c r="D79" s="366">
        <v>225.80199999999999</v>
      </c>
      <c r="E79" s="366">
        <v>270.83</v>
      </c>
      <c r="F79" s="366">
        <f t="shared" si="6"/>
        <v>225.13999999999996</v>
      </c>
      <c r="G79" s="366">
        <f t="shared" si="7"/>
        <v>1129.01</v>
      </c>
      <c r="H79" s="368">
        <f t="shared" si="8"/>
        <v>0.1994136455832986</v>
      </c>
      <c r="I79" s="368"/>
    </row>
    <row r="80" spans="2:9" x14ac:dyDescent="0.25">
      <c r="B80" s="364">
        <v>42482</v>
      </c>
      <c r="C80" s="365">
        <v>0</v>
      </c>
      <c r="D80" s="366">
        <v>0</v>
      </c>
      <c r="E80" s="366">
        <v>0</v>
      </c>
      <c r="F80" s="366">
        <v>285.70999999999998</v>
      </c>
      <c r="G80" s="366">
        <f t="shared" si="7"/>
        <v>0</v>
      </c>
      <c r="H80" s="368"/>
      <c r="I80" s="368"/>
    </row>
    <row r="81" spans="2:9" x14ac:dyDescent="0.25">
      <c r="B81" s="365"/>
      <c r="C81" s="365"/>
      <c r="D81" s="366"/>
      <c r="E81" s="366"/>
      <c r="F81" s="366"/>
      <c r="G81" s="366"/>
      <c r="H81" s="368"/>
      <c r="I81" s="368"/>
    </row>
    <row r="82" spans="2:9" x14ac:dyDescent="0.25">
      <c r="B82" s="365"/>
      <c r="C82" s="365"/>
      <c r="D82" s="366"/>
      <c r="E82" s="366"/>
      <c r="F82" s="366"/>
      <c r="G82" s="366"/>
      <c r="H82" s="368"/>
      <c r="I82" s="368"/>
    </row>
  </sheetData>
  <mergeCells count="1">
    <mergeCell ref="O42:P42"/>
  </mergeCells>
  <conditionalFormatting sqref="N19 F25:F35">
    <cfRule type="expression" dxfId="2449" priority="58">
      <formula>F19&gt;0</formula>
    </cfRule>
    <cfRule type="expression" dxfId="24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47" priority="47">
      <formula>H25&gt;0</formula>
    </cfRule>
    <cfRule type="expression" dxfId="2446" priority="48">
      <formula>H25&lt;0</formula>
    </cfRule>
  </conditionalFormatting>
  <conditionalFormatting sqref="M39">
    <cfRule type="expression" dxfId="2445" priority="45">
      <formula>M39&gt;0</formula>
    </cfRule>
    <cfRule type="expression" dxfId="2444" priority="46">
      <formula>M39&lt;0</formula>
    </cfRule>
  </conditionalFormatting>
  <conditionalFormatting sqref="F61:F67">
    <cfRule type="expression" dxfId="2443" priority="43">
      <formula>F61&gt;0</formula>
    </cfRule>
    <cfRule type="expression" dxfId="2442" priority="44">
      <formula>F61&lt;0</formula>
    </cfRule>
  </conditionalFormatting>
  <conditionalFormatting sqref="H61:H67">
    <cfRule type="expression" dxfId="2441" priority="41">
      <formula>H61&gt;0</formula>
    </cfRule>
    <cfRule type="expression" dxfId="2440" priority="42">
      <formula>H61&lt;0</formula>
    </cfRule>
  </conditionalFormatting>
  <conditionalFormatting sqref="F21:F24">
    <cfRule type="expression" dxfId="2439" priority="39">
      <formula>F21&gt;0</formula>
    </cfRule>
    <cfRule type="expression" dxfId="2438" priority="40">
      <formula>F21&lt;0</formula>
    </cfRule>
  </conditionalFormatting>
  <conditionalFormatting sqref="H21:H24">
    <cfRule type="expression" dxfId="2437" priority="37">
      <formula>H21&gt;0</formula>
    </cfRule>
    <cfRule type="expression" dxfId="2436" priority="38">
      <formula>H21&lt;0</formula>
    </cfRule>
  </conditionalFormatting>
  <conditionalFormatting sqref="I25:I28">
    <cfRule type="expression" dxfId="2435" priority="31">
      <formula>I25&gt;0</formula>
    </cfRule>
    <cfRule type="expression" dxfId="2434" priority="32">
      <formula>I25&lt;0</formula>
    </cfRule>
  </conditionalFormatting>
  <conditionalFormatting sqref="I21:I24">
    <cfRule type="expression" dxfId="2433" priority="29">
      <formula>I21&gt;0</formula>
    </cfRule>
    <cfRule type="expression" dxfId="2432" priority="30">
      <formula>I21&lt;0</formula>
    </cfRule>
  </conditionalFormatting>
  <conditionalFormatting sqref="H29">
    <cfRule type="expression" dxfId="2431" priority="27">
      <formula>H29&gt;0</formula>
    </cfRule>
    <cfRule type="expression" dxfId="2430" priority="28">
      <formula>H29&lt;0</formula>
    </cfRule>
  </conditionalFormatting>
  <conditionalFormatting sqref="H30">
    <cfRule type="expression" dxfId="2429" priority="25">
      <formula>H30&gt;0</formula>
    </cfRule>
    <cfRule type="expression" dxfId="2428" priority="26">
      <formula>H30&lt;0</formula>
    </cfRule>
  </conditionalFormatting>
  <conditionalFormatting sqref="H31">
    <cfRule type="expression" dxfId="2427" priority="23">
      <formula>H31&gt;0</formula>
    </cfRule>
    <cfRule type="expression" dxfId="2426" priority="24">
      <formula>H31&lt;0</formula>
    </cfRule>
  </conditionalFormatting>
  <conditionalFormatting sqref="Q7">
    <cfRule type="expression" dxfId="2425" priority="21">
      <formula>Q7&gt;0</formula>
    </cfRule>
    <cfRule type="expression" dxfId="2424" priority="22">
      <formula>Q7&lt;0</formula>
    </cfRule>
  </conditionalFormatting>
  <conditionalFormatting sqref="Q8">
    <cfRule type="expression" dxfId="2423" priority="19">
      <formula>Q8&gt;0</formula>
    </cfRule>
    <cfRule type="expression" dxfId="2422" priority="20">
      <formula>Q8&lt;0</formula>
    </cfRule>
  </conditionalFormatting>
  <conditionalFormatting sqref="F73:F82">
    <cfRule type="expression" dxfId="2421" priority="17">
      <formula>F73&gt;0</formula>
    </cfRule>
    <cfRule type="expression" dxfId="2420" priority="18">
      <formula>F73&lt;0</formula>
    </cfRule>
  </conditionalFormatting>
  <conditionalFormatting sqref="H73:H76">
    <cfRule type="expression" dxfId="2419" priority="15">
      <formula>H73&gt;0</formula>
    </cfRule>
    <cfRule type="expression" dxfId="2418" priority="16">
      <formula>H73&lt;0</formula>
    </cfRule>
  </conditionalFormatting>
  <conditionalFormatting sqref="F69:F72">
    <cfRule type="expression" dxfId="2417" priority="13">
      <formula>F69&gt;0</formula>
    </cfRule>
    <cfRule type="expression" dxfId="2416" priority="14">
      <formula>F69&lt;0</formula>
    </cfRule>
  </conditionalFormatting>
  <conditionalFormatting sqref="H69:H72">
    <cfRule type="expression" dxfId="2415" priority="11">
      <formula>H69&gt;0</formula>
    </cfRule>
    <cfRule type="expression" dxfId="2414" priority="12">
      <formula>H69&lt;0</formula>
    </cfRule>
  </conditionalFormatting>
  <conditionalFormatting sqref="I73:I76">
    <cfRule type="expression" dxfId="2413" priority="9">
      <formula>I73&gt;0</formula>
    </cfRule>
    <cfRule type="expression" dxfId="2412" priority="10">
      <formula>I73&lt;0</formula>
    </cfRule>
  </conditionalFormatting>
  <conditionalFormatting sqref="I69:I72">
    <cfRule type="expression" dxfId="2411" priority="7">
      <formula>I69&gt;0</formula>
    </cfRule>
    <cfRule type="expression" dxfId="2410" priority="8">
      <formula>I69&lt;0</formula>
    </cfRule>
  </conditionalFormatting>
  <conditionalFormatting sqref="H77">
    <cfRule type="expression" dxfId="2409" priority="5">
      <formula>H77&gt;0</formula>
    </cfRule>
    <cfRule type="expression" dxfId="2408" priority="6">
      <formula>H77&lt;0</formula>
    </cfRule>
  </conditionalFormatting>
  <conditionalFormatting sqref="H78">
    <cfRule type="expression" dxfId="2407" priority="3">
      <formula>H78&gt;0</formula>
    </cfRule>
    <cfRule type="expression" dxfId="2406" priority="4">
      <formula>H78&lt;0</formula>
    </cfRule>
  </conditionalFormatting>
  <conditionalFormatting sqref="H79">
    <cfRule type="expression" dxfId="2405" priority="1">
      <formula>H79&gt;0</formula>
    </cfRule>
    <cfRule type="expression" dxfId="24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40.799999999999997</v>
      </c>
      <c r="R4" s="493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1" t="s">
        <v>1</v>
      </c>
      <c r="B36" s="371" t="s">
        <v>2</v>
      </c>
      <c r="C36" s="371" t="s">
        <v>4</v>
      </c>
      <c r="D36" s="373" t="s">
        <v>5</v>
      </c>
      <c r="E36" s="373" t="s">
        <v>94</v>
      </c>
      <c r="F36" s="373" t="s">
        <v>60</v>
      </c>
      <c r="G36" s="371" t="s">
        <v>3</v>
      </c>
      <c r="H36" s="371" t="s">
        <v>6</v>
      </c>
      <c r="I36" s="371" t="s">
        <v>7</v>
      </c>
      <c r="J36" s="371" t="s">
        <v>95</v>
      </c>
      <c r="K36" s="373" t="s">
        <v>61</v>
      </c>
      <c r="L36" s="371" t="s">
        <v>77</v>
      </c>
      <c r="M36" s="37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4" t="s">
        <v>204</v>
      </c>
      <c r="B37" s="364">
        <v>42502</v>
      </c>
      <c r="C37" s="365">
        <v>60</v>
      </c>
      <c r="D37" s="366">
        <v>38.25</v>
      </c>
      <c r="E37" s="366">
        <v>0</v>
      </c>
      <c r="F37" s="366">
        <f>C37*D37 + E37</f>
        <v>2295</v>
      </c>
      <c r="G37" s="364">
        <v>42528</v>
      </c>
      <c r="H37" s="369">
        <v>30</v>
      </c>
      <c r="I37" s="366">
        <v>45.25</v>
      </c>
      <c r="J37" s="366">
        <v>0.03</v>
      </c>
      <c r="K37" s="366">
        <f>H37*I37 - J37</f>
        <v>1357.47</v>
      </c>
      <c r="L37" s="365"/>
      <c r="M37" s="36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5" t="s">
        <v>71</v>
      </c>
      <c r="B38" s="376"/>
      <c r="C38" s="365"/>
      <c r="D38" s="366"/>
      <c r="E38" s="366"/>
      <c r="F38" s="366"/>
      <c r="G38" s="364">
        <v>42544</v>
      </c>
      <c r="H38" s="369">
        <v>30</v>
      </c>
      <c r="I38" s="366">
        <v>45.91</v>
      </c>
      <c r="J38" s="366">
        <v>-0.01</v>
      </c>
      <c r="K38" s="366">
        <f>H38*I38 - J38</f>
        <v>1377.31</v>
      </c>
      <c r="L38" s="365"/>
      <c r="M38" s="36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5"/>
      <c r="B39" s="376"/>
      <c r="C39" s="365"/>
      <c r="D39" s="366"/>
      <c r="E39" s="366"/>
      <c r="F39" s="366"/>
      <c r="G39" s="364"/>
      <c r="H39" s="369"/>
      <c r="I39" s="366"/>
      <c r="J39" s="366"/>
      <c r="K39" s="366"/>
      <c r="L39" s="365"/>
      <c r="M39" s="36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5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5"/>
      <c r="B41" s="376"/>
      <c r="C41" s="365"/>
      <c r="D41" s="366"/>
      <c r="E41" s="366"/>
      <c r="F41" s="366"/>
      <c r="G41" s="364"/>
      <c r="H41" s="369"/>
      <c r="I41" s="366"/>
      <c r="J41" s="366"/>
      <c r="K41" s="366"/>
      <c r="L41" s="365"/>
      <c r="M41" s="36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5"/>
      <c r="B42" s="376"/>
      <c r="C42" s="365"/>
      <c r="D42" s="366"/>
      <c r="E42" s="366"/>
      <c r="F42" s="366"/>
      <c r="G42" s="364"/>
      <c r="H42" s="369"/>
      <c r="I42" s="366"/>
      <c r="J42" s="366"/>
      <c r="K42" s="366"/>
      <c r="L42" s="365"/>
      <c r="M42" s="365"/>
      <c r="O42" s="847" t="s">
        <v>78</v>
      </c>
      <c r="P42" s="84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5"/>
      <c r="B43" s="364"/>
      <c r="C43" s="365"/>
      <c r="D43" s="366"/>
      <c r="E43" s="366"/>
      <c r="F43" s="366"/>
      <c r="G43" s="364"/>
      <c r="H43" s="369"/>
      <c r="I43" s="366"/>
      <c r="J43" s="366"/>
      <c r="K43" s="366"/>
      <c r="L43" s="365"/>
      <c r="M43" s="365"/>
      <c r="O43" s="81">
        <v>1.1000000000000001</v>
      </c>
      <c r="P43" s="81">
        <f>O43*$Q$4</f>
        <v>44.88</v>
      </c>
      <c r="Q43" s="2"/>
      <c r="T43" s="135" t="s">
        <v>97</v>
      </c>
      <c r="U43" s="354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5"/>
      <c r="B44" s="364"/>
      <c r="C44" s="365"/>
      <c r="D44" s="366"/>
      <c r="E44" s="366"/>
      <c r="F44" s="366"/>
      <c r="G44" s="364"/>
      <c r="H44" s="369"/>
      <c r="I44" s="366"/>
      <c r="J44" s="366"/>
      <c r="K44" s="366"/>
      <c r="L44" s="365"/>
      <c r="M44" s="365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5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5"/>
      <c r="I45" s="365"/>
      <c r="J45" s="365"/>
      <c r="K45" s="366"/>
      <c r="L45" s="365"/>
      <c r="M45" s="365"/>
      <c r="O45" s="81">
        <v>1.08</v>
      </c>
      <c r="P45" s="81">
        <f t="shared" si="3"/>
        <v>44.064</v>
      </c>
      <c r="Q45" s="2"/>
      <c r="T45" s="106" t="s">
        <v>99</v>
      </c>
      <c r="U45" s="355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5"/>
      <c r="I46" s="365"/>
      <c r="J46" s="365"/>
      <c r="K46" s="366"/>
      <c r="L46" s="365"/>
      <c r="M46" s="365"/>
      <c r="O46" s="81">
        <v>1.07</v>
      </c>
      <c r="P46" s="81">
        <f t="shared" si="3"/>
        <v>43.655999999999999</v>
      </c>
      <c r="Q46" s="2"/>
      <c r="T46" s="106" t="s">
        <v>100</v>
      </c>
      <c r="U46" s="355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5"/>
      <c r="I47" s="365"/>
      <c r="J47" s="365"/>
      <c r="K47" s="366"/>
      <c r="L47" s="365"/>
      <c r="M47" s="365"/>
      <c r="O47" s="81">
        <v>1.06</v>
      </c>
      <c r="P47" s="81">
        <f t="shared" si="3"/>
        <v>43.247999999999998</v>
      </c>
      <c r="Q47" s="2"/>
      <c r="T47" s="106" t="s">
        <v>101</v>
      </c>
      <c r="U47" s="355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5"/>
      <c r="B48" s="364"/>
      <c r="C48" s="365"/>
      <c r="D48" s="366"/>
      <c r="E48" s="366"/>
      <c r="F48" s="366"/>
      <c r="G48" s="364"/>
      <c r="H48" s="365"/>
      <c r="I48" s="366"/>
      <c r="J48" s="365"/>
      <c r="K48" s="366"/>
      <c r="L48" s="365"/>
      <c r="M48" s="365"/>
      <c r="O48" s="81">
        <v>1.05</v>
      </c>
      <c r="P48" s="81">
        <f t="shared" si="3"/>
        <v>42.839999999999996</v>
      </c>
      <c r="Q48" s="2"/>
      <c r="T48" s="106" t="s">
        <v>102</v>
      </c>
      <c r="U48" s="355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5"/>
      <c r="B49" s="364"/>
      <c r="C49" s="365"/>
      <c r="D49" s="366"/>
      <c r="E49" s="366"/>
      <c r="F49" s="366"/>
      <c r="G49" s="364"/>
      <c r="H49" s="365"/>
      <c r="I49" s="365"/>
      <c r="J49" s="365"/>
      <c r="K49" s="366"/>
      <c r="L49" s="365"/>
      <c r="M49" s="365"/>
      <c r="O49" s="81">
        <v>1.04</v>
      </c>
      <c r="P49" s="81">
        <f t="shared" si="3"/>
        <v>42.431999999999995</v>
      </c>
      <c r="Q49" s="2"/>
      <c r="T49" s="106" t="s">
        <v>121</v>
      </c>
      <c r="U49" s="355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5"/>
      <c r="B50" s="365"/>
      <c r="C50" s="365"/>
      <c r="D50" s="366"/>
      <c r="E50" s="366"/>
      <c r="F50" s="366"/>
      <c r="G50" s="364"/>
      <c r="H50" s="365"/>
      <c r="I50" s="365"/>
      <c r="J50" s="365"/>
      <c r="K50" s="366"/>
      <c r="L50" s="365"/>
      <c r="M50" s="365"/>
      <c r="O50" s="81">
        <v>1.03</v>
      </c>
      <c r="P50" s="81">
        <f t="shared" si="3"/>
        <v>42.024000000000001</v>
      </c>
      <c r="Q50" s="2"/>
      <c r="T50" s="106"/>
      <c r="U50" s="355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5"/>
      <c r="B51" s="365"/>
      <c r="C51" s="365"/>
      <c r="D51" s="366"/>
      <c r="E51" s="366"/>
      <c r="F51" s="366"/>
      <c r="G51" s="364"/>
      <c r="H51" s="365"/>
      <c r="I51" s="365"/>
      <c r="J51" s="365"/>
      <c r="K51" s="366"/>
      <c r="L51" s="365"/>
      <c r="M51" s="365"/>
      <c r="O51" s="81">
        <v>1.02</v>
      </c>
      <c r="P51" s="81">
        <f t="shared" si="3"/>
        <v>41.616</v>
      </c>
      <c r="Q51" s="2"/>
      <c r="T51" s="106" t="s">
        <v>104</v>
      </c>
      <c r="U51" s="355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5"/>
      <c r="B52" s="365"/>
      <c r="C52" s="365"/>
      <c r="D52" s="366"/>
      <c r="E52" s="366"/>
      <c r="F52" s="366"/>
      <c r="G52" s="364"/>
      <c r="H52" s="365"/>
      <c r="I52" s="365"/>
      <c r="J52" s="365"/>
      <c r="K52" s="366"/>
      <c r="L52" s="365"/>
      <c r="M52" s="365"/>
      <c r="O52" s="81">
        <v>1.01</v>
      </c>
      <c r="P52" s="81">
        <f t="shared" si="3"/>
        <v>41.207999999999998</v>
      </c>
      <c r="Q52" s="2"/>
      <c r="T52" s="106" t="s">
        <v>105</v>
      </c>
      <c r="U52" s="355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56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56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5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39.575999999999993</v>
      </c>
      <c r="T56" s="106" t="s">
        <v>110</v>
      </c>
      <c r="U56" s="355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39.167999999999999</v>
      </c>
      <c r="T57" s="106" t="s">
        <v>111</v>
      </c>
      <c r="U57" s="355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38.76</v>
      </c>
      <c r="T58" s="106" t="s">
        <v>108</v>
      </c>
      <c r="U58" s="355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03" priority="29">
      <formula>N19&gt;0</formula>
    </cfRule>
    <cfRule type="expression" dxfId="240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01" priority="23">
      <formula>F22&gt;0</formula>
    </cfRule>
    <cfRule type="expression" dxfId="2400" priority="24">
      <formula>F22&lt;0</formula>
    </cfRule>
  </conditionalFormatting>
  <conditionalFormatting sqref="H22:H31">
    <cfRule type="expression" dxfId="2399" priority="21">
      <formula>H22&gt;0</formula>
    </cfRule>
    <cfRule type="expression" dxfId="2398" priority="22">
      <formula>H22&lt;0</formula>
    </cfRule>
  </conditionalFormatting>
  <conditionalFormatting sqref="I21:J31">
    <cfRule type="expression" dxfId="2397" priority="19">
      <formula>I21&gt;0</formula>
    </cfRule>
    <cfRule type="expression" dxfId="2396" priority="20">
      <formula>I21&lt;0</formula>
    </cfRule>
  </conditionalFormatting>
  <conditionalFormatting sqref="Q8">
    <cfRule type="expression" dxfId="2395" priority="11">
      <formula>Q8&gt;0</formula>
    </cfRule>
    <cfRule type="expression" dxfId="2394" priority="12">
      <formula>Q8&lt;0</formula>
    </cfRule>
  </conditionalFormatting>
  <conditionalFormatting sqref="Q7">
    <cfRule type="expression" dxfId="2393" priority="13">
      <formula>Q7&gt;0</formula>
    </cfRule>
    <cfRule type="expression" dxfId="2392" priority="14">
      <formula>Q7&lt;0</formula>
    </cfRule>
  </conditionalFormatting>
  <conditionalFormatting sqref="F56:F66">
    <cfRule type="expression" dxfId="2391" priority="9">
      <formula>F56&gt;0</formula>
    </cfRule>
    <cfRule type="expression" dxfId="2390" priority="10">
      <formula>F56&lt;0</formula>
    </cfRule>
  </conditionalFormatting>
  <conditionalFormatting sqref="H56:H66">
    <cfRule type="expression" dxfId="2389" priority="7">
      <formula>H56&gt;0</formula>
    </cfRule>
    <cfRule type="expression" dxfId="2388" priority="8">
      <formula>H56&lt;0</formula>
    </cfRule>
  </conditionalFormatting>
  <conditionalFormatting sqref="I56:I66">
    <cfRule type="expression" dxfId="2387" priority="5">
      <formula>I56&gt;0</formula>
    </cfRule>
    <cfRule type="expression" dxfId="2386" priority="6">
      <formula>I56&lt;0</formula>
    </cfRule>
  </conditionalFormatting>
  <conditionalFormatting sqref="F21">
    <cfRule type="expression" dxfId="2385" priority="3">
      <formula>F21&gt;0</formula>
    </cfRule>
    <cfRule type="expression" dxfId="2384" priority="4">
      <formula>F21&lt;0</formula>
    </cfRule>
  </conditionalFormatting>
  <conditionalFormatting sqref="H21">
    <cfRule type="expression" dxfId="2383" priority="1">
      <formula>H21&gt;0</formula>
    </cfRule>
    <cfRule type="expression" dxfId="238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7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7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7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7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902</v>
      </c>
      <c r="X3" s="1"/>
      <c r="AB3" s="228"/>
      <c r="AE3" s="228"/>
    </row>
    <row r="4" spans="1:31" x14ac:dyDescent="0.25">
      <c r="B4" s="437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7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38.630000000000003</v>
      </c>
      <c r="R4" s="225">
        <v>3.8999999999999998E-3</v>
      </c>
      <c r="T4" s="1">
        <v>43114</v>
      </c>
      <c r="U4" t="s">
        <v>901</v>
      </c>
      <c r="AB4" s="228"/>
      <c r="AE4" s="228"/>
    </row>
    <row r="5" spans="1:31" x14ac:dyDescent="0.25">
      <c r="B5" s="437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7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9657.5</v>
      </c>
      <c r="T5" s="1">
        <v>43117</v>
      </c>
      <c r="U5" t="s">
        <v>913</v>
      </c>
      <c r="AB5" s="228"/>
      <c r="AE5" s="228"/>
    </row>
    <row r="6" spans="1:31" x14ac:dyDescent="0.25">
      <c r="B6" s="437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7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799</v>
      </c>
      <c r="B7" s="437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7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-2373.1200000000026</v>
      </c>
      <c r="R7">
        <v>250</v>
      </c>
      <c r="AB7" s="228"/>
      <c r="AE7" s="228"/>
    </row>
    <row r="8" spans="1:31" x14ac:dyDescent="0.25">
      <c r="B8" s="437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7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-3530.989999999998</v>
      </c>
      <c r="T8" s="779">
        <v>43173</v>
      </c>
      <c r="U8" t="s">
        <v>978</v>
      </c>
      <c r="AB8" s="228"/>
      <c r="AE8" s="228"/>
    </row>
    <row r="9" spans="1:31" x14ac:dyDescent="0.25">
      <c r="B9" s="437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-0.26773269722310883</v>
      </c>
      <c r="T9" s="153"/>
      <c r="U9" t="s">
        <v>1006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1004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3.2099404607817753E-2</v>
      </c>
      <c r="R11" s="33">
        <v>0.31</v>
      </c>
      <c r="U11" t="s">
        <v>1005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968</v>
      </c>
      <c r="Q12" s="1"/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997</v>
      </c>
      <c r="Q13">
        <f>Q4/4</f>
        <v>9.6575000000000006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5"/>
      <c r="P15" s="415"/>
      <c r="Q15" s="415"/>
      <c r="R15" s="415"/>
      <c r="S15" s="415"/>
      <c r="T15" s="415"/>
      <c r="U15" s="415"/>
      <c r="V15" s="415"/>
      <c r="W15" s="772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3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4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7" t="s">
        <v>113</v>
      </c>
      <c r="C28" s="487" t="s">
        <v>146</v>
      </c>
      <c r="D28" s="488" t="s">
        <v>145</v>
      </c>
      <c r="E28" s="489" t="s">
        <v>147</v>
      </c>
      <c r="F28" s="490" t="s">
        <v>65</v>
      </c>
      <c r="G28" s="491" t="s">
        <v>151</v>
      </c>
      <c r="H28" s="490" t="s">
        <v>88</v>
      </c>
      <c r="I28" s="490" t="s">
        <v>154</v>
      </c>
      <c r="J28" s="490" t="s">
        <v>150</v>
      </c>
      <c r="K28" s="490" t="s">
        <v>997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770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772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784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76" t="s">
        <v>78</v>
      </c>
      <c r="P39" s="676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42.493000000000009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42.106700000000004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41.720400000000005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41.334100000000007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40.947800000000008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40.561500000000002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40.175200000000004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39.788900000000005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39.402600000000007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39.016300000000001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38.630000000000003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38.243700000000004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37.857399999999998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37.4711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37.084800000000001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36.698500000000003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36.312199999999997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35.925900000000006</v>
      </c>
    </row>
    <row r="58" spans="1:17" x14ac:dyDescent="0.25">
      <c r="B58" s="187"/>
      <c r="C58" s="10"/>
      <c r="D58" s="39"/>
      <c r="E58" s="39"/>
      <c r="F58" s="39"/>
      <c r="G58" s="39"/>
      <c r="H58" s="225"/>
      <c r="I58" s="10"/>
      <c r="J58" s="39"/>
      <c r="K58" s="39"/>
      <c r="O58" s="81">
        <v>0.92</v>
      </c>
      <c r="P58" s="81">
        <f t="shared" si="20"/>
        <v>35.539600000000007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35.153300000000002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34.767000000000003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4">
        <v>42516</v>
      </c>
      <c r="C75" s="365">
        <v>20</v>
      </c>
      <c r="D75" s="366">
        <v>96.2</v>
      </c>
      <c r="E75" s="366">
        <v>97</v>
      </c>
      <c r="F75" s="366">
        <f t="shared" ref="F75:F83" si="30">C75*(E75-D75)</f>
        <v>15.999999999999943</v>
      </c>
      <c r="G75" s="366">
        <f t="shared" ref="G75:G83" si="31">D75*C75</f>
        <v>1924</v>
      </c>
      <c r="H75" s="367">
        <f t="shared" ref="H75:H83" si="32">(E75-D75)/D75</f>
        <v>8.316008316008287E-3</v>
      </c>
      <c r="I75" s="367"/>
    </row>
    <row r="76" spans="2:11" x14ac:dyDescent="0.25">
      <c r="B76" s="364">
        <v>42522</v>
      </c>
      <c r="C76" s="365">
        <v>20</v>
      </c>
      <c r="D76" s="366">
        <v>96.2</v>
      </c>
      <c r="E76" s="366">
        <v>98.73</v>
      </c>
      <c r="F76" s="366">
        <f t="shared" si="30"/>
        <v>50.600000000000023</v>
      </c>
      <c r="G76" s="366">
        <f t="shared" si="31"/>
        <v>1924</v>
      </c>
      <c r="H76" s="367">
        <f t="shared" si="32"/>
        <v>2.6299376299376311E-2</v>
      </c>
      <c r="I76" s="367"/>
    </row>
    <row r="77" spans="2:11" x14ac:dyDescent="0.25">
      <c r="B77" s="364">
        <v>42527</v>
      </c>
      <c r="C77" s="365">
        <v>45</v>
      </c>
      <c r="D77" s="366">
        <v>90.305599999999998</v>
      </c>
      <c r="E77" s="366">
        <v>86.39</v>
      </c>
      <c r="F77" s="366">
        <f t="shared" si="30"/>
        <v>-176.20199999999988</v>
      </c>
      <c r="G77" s="366">
        <f t="shared" si="31"/>
        <v>4063.752</v>
      </c>
      <c r="H77" s="367">
        <f t="shared" si="32"/>
        <v>-4.3359437288495929E-2</v>
      </c>
      <c r="I77" s="368"/>
    </row>
    <row r="78" spans="2:11" x14ac:dyDescent="0.25">
      <c r="B78" s="364">
        <v>42529</v>
      </c>
      <c r="C78" s="365">
        <v>25</v>
      </c>
      <c r="D78" s="366">
        <v>91.3596</v>
      </c>
      <c r="E78" s="366">
        <v>89.31</v>
      </c>
      <c r="F78" s="366">
        <f t="shared" si="30"/>
        <v>-51.239999999999952</v>
      </c>
      <c r="G78" s="366">
        <f t="shared" si="31"/>
        <v>2283.9899999999998</v>
      </c>
      <c r="H78" s="367">
        <f t="shared" si="32"/>
        <v>-2.2434423968581276E-2</v>
      </c>
      <c r="I78" s="367"/>
    </row>
    <row r="79" spans="2:11" x14ac:dyDescent="0.25">
      <c r="B79" s="364">
        <v>42534</v>
      </c>
      <c r="C79" s="365">
        <v>25</v>
      </c>
      <c r="D79" s="366">
        <v>91.3596</v>
      </c>
      <c r="E79" s="366">
        <v>85.51</v>
      </c>
      <c r="F79" s="366">
        <f t="shared" si="30"/>
        <v>-146.2399999999999</v>
      </c>
      <c r="G79" s="366">
        <f t="shared" si="31"/>
        <v>2283.9899999999998</v>
      </c>
      <c r="H79" s="367">
        <f t="shared" si="32"/>
        <v>-6.402830134983073E-2</v>
      </c>
      <c r="I79" s="367"/>
    </row>
    <row r="80" spans="2:11" x14ac:dyDescent="0.25">
      <c r="B80" s="364">
        <v>42535</v>
      </c>
      <c r="C80" s="365">
        <v>50</v>
      </c>
      <c r="D80" s="366">
        <v>87.0548</v>
      </c>
      <c r="E80" s="366">
        <v>83.87</v>
      </c>
      <c r="F80" s="366">
        <f t="shared" si="30"/>
        <v>-159.23999999999978</v>
      </c>
      <c r="G80" s="366">
        <f t="shared" si="31"/>
        <v>4352.74</v>
      </c>
      <c r="H80" s="367">
        <f t="shared" si="32"/>
        <v>-3.6583852929419118E-2</v>
      </c>
      <c r="I80" s="367"/>
    </row>
    <row r="81" spans="2:9" x14ac:dyDescent="0.25">
      <c r="B81" s="364">
        <v>42541</v>
      </c>
      <c r="C81" s="365">
        <v>25</v>
      </c>
      <c r="D81" s="366">
        <v>87.521600000000007</v>
      </c>
      <c r="E81" s="366">
        <v>86.01</v>
      </c>
      <c r="F81" s="366">
        <f t="shared" si="30"/>
        <v>-37.790000000000035</v>
      </c>
      <c r="G81" s="366">
        <f t="shared" si="31"/>
        <v>2188.04</v>
      </c>
      <c r="H81" s="367">
        <f t="shared" si="32"/>
        <v>-1.7271165060967823E-2</v>
      </c>
      <c r="I81" s="367"/>
    </row>
    <row r="82" spans="2:9" x14ac:dyDescent="0.25">
      <c r="B82" s="364">
        <v>42546</v>
      </c>
      <c r="C82" s="365">
        <v>25</v>
      </c>
      <c r="D82" s="366">
        <v>87.521600000000007</v>
      </c>
      <c r="E82" s="366">
        <v>82.02</v>
      </c>
      <c r="F82" s="366">
        <f t="shared" si="30"/>
        <v>-137.54000000000025</v>
      </c>
      <c r="G82" s="366">
        <f t="shared" si="31"/>
        <v>2188.04</v>
      </c>
      <c r="H82" s="367">
        <f t="shared" si="32"/>
        <v>-6.285991115336112E-2</v>
      </c>
      <c r="I82" s="367"/>
    </row>
    <row r="83" spans="2:9" x14ac:dyDescent="0.25">
      <c r="B83" s="364">
        <v>42548</v>
      </c>
      <c r="C83" s="365">
        <v>75</v>
      </c>
      <c r="D83" s="366">
        <v>81.493899999999996</v>
      </c>
      <c r="E83" s="366">
        <v>79.260000000000005</v>
      </c>
      <c r="F83" s="366">
        <f t="shared" si="30"/>
        <v>-167.54249999999934</v>
      </c>
      <c r="G83" s="366">
        <f t="shared" si="31"/>
        <v>6112.0424999999996</v>
      </c>
      <c r="H83" s="367">
        <f t="shared" si="32"/>
        <v>-2.7411867636718715E-2</v>
      </c>
      <c r="I83" s="367"/>
    </row>
    <row r="84" spans="2:9" x14ac:dyDescent="0.25">
      <c r="B84" s="364">
        <v>42549</v>
      </c>
      <c r="C84" s="365">
        <v>75</v>
      </c>
      <c r="D84" s="366">
        <v>81.493899999999996</v>
      </c>
      <c r="E84" s="366">
        <v>80.72</v>
      </c>
      <c r="F84" s="366">
        <f t="shared" ref="F84:F96" si="33">C84*(E84-D84)</f>
        <v>-58.042499999999819</v>
      </c>
      <c r="G84" s="366">
        <f t="shared" ref="G84:G96" si="34">D84*C84</f>
        <v>6112.0424999999996</v>
      </c>
      <c r="H84" s="367">
        <f t="shared" ref="H84:H96" si="35">(E84-D84)/D84</f>
        <v>-9.4964162961890114E-3</v>
      </c>
      <c r="I84" s="367"/>
    </row>
    <row r="85" spans="2:9" x14ac:dyDescent="0.25">
      <c r="B85" s="364">
        <v>42552</v>
      </c>
      <c r="C85" s="365">
        <v>55</v>
      </c>
      <c r="D85" s="366">
        <v>80.590500000000006</v>
      </c>
      <c r="E85" s="366">
        <v>84.15</v>
      </c>
      <c r="F85" s="366">
        <f t="shared" si="33"/>
        <v>195.77249999999998</v>
      </c>
      <c r="G85" s="366">
        <f t="shared" si="34"/>
        <v>4432.4775</v>
      </c>
      <c r="H85" s="367">
        <f t="shared" si="35"/>
        <v>4.4167736892065435E-2</v>
      </c>
      <c r="I85" s="367"/>
    </row>
    <row r="86" spans="2:9" x14ac:dyDescent="0.25">
      <c r="B86" s="364">
        <v>42556</v>
      </c>
      <c r="C86" s="365">
        <v>55</v>
      </c>
      <c r="D86" s="366">
        <v>80.590500000000006</v>
      </c>
      <c r="E86" s="366">
        <v>81.290000000000006</v>
      </c>
      <c r="F86" s="366">
        <f t="shared" si="33"/>
        <v>38.472500000000025</v>
      </c>
      <c r="G86" s="366">
        <f t="shared" si="34"/>
        <v>4432.4775</v>
      </c>
      <c r="H86" s="367">
        <f t="shared" si="35"/>
        <v>8.6796830891978632E-3</v>
      </c>
      <c r="I86" s="367"/>
    </row>
    <row r="87" spans="2:9" x14ac:dyDescent="0.25">
      <c r="B87" s="364">
        <v>42563</v>
      </c>
      <c r="C87" s="365">
        <v>55</v>
      </c>
      <c r="D87" s="366">
        <v>80.590500000000006</v>
      </c>
      <c r="E87" s="366">
        <v>89.07</v>
      </c>
      <c r="F87" s="366">
        <f t="shared" si="33"/>
        <v>466.37249999999932</v>
      </c>
      <c r="G87" s="366">
        <f t="shared" si="34"/>
        <v>4432.4775</v>
      </c>
      <c r="H87" s="367">
        <f t="shared" si="35"/>
        <v>0.10521711616133399</v>
      </c>
      <c r="I87" s="367"/>
    </row>
    <row r="88" spans="2:9" x14ac:dyDescent="0.25">
      <c r="B88" s="364">
        <v>42566</v>
      </c>
      <c r="C88" s="365">
        <v>55</v>
      </c>
      <c r="D88" s="366">
        <v>80.590500000000006</v>
      </c>
      <c r="E88" s="366">
        <v>90.34</v>
      </c>
      <c r="F88" s="366">
        <f t="shared" si="33"/>
        <v>536.22249999999985</v>
      </c>
      <c r="G88" s="366">
        <f t="shared" si="34"/>
        <v>4432.4775</v>
      </c>
      <c r="H88" s="367">
        <f t="shared" si="35"/>
        <v>0.12097579739547462</v>
      </c>
      <c r="I88" s="367"/>
    </row>
    <row r="89" spans="2:9" x14ac:dyDescent="0.25">
      <c r="B89" s="364">
        <v>42569</v>
      </c>
      <c r="C89" s="365">
        <v>50</v>
      </c>
      <c r="D89" s="366">
        <v>79.449799999999996</v>
      </c>
      <c r="E89" s="366">
        <v>92.26</v>
      </c>
      <c r="F89" s="366">
        <f t="shared" si="33"/>
        <v>640.51000000000045</v>
      </c>
      <c r="G89" s="366">
        <f t="shared" si="34"/>
        <v>3972.49</v>
      </c>
      <c r="H89" s="367">
        <f t="shared" si="35"/>
        <v>0.16123640336413697</v>
      </c>
      <c r="I89" s="367"/>
    </row>
    <row r="90" spans="2:9" x14ac:dyDescent="0.25">
      <c r="B90" s="364">
        <v>42570</v>
      </c>
      <c r="C90" s="365">
        <v>50</v>
      </c>
      <c r="D90" s="366">
        <v>79.449799999999996</v>
      </c>
      <c r="E90" s="366">
        <v>90.39</v>
      </c>
      <c r="F90" s="366">
        <f t="shared" si="33"/>
        <v>547.01000000000022</v>
      </c>
      <c r="G90" s="366">
        <f t="shared" si="34"/>
        <v>3972.49</v>
      </c>
      <c r="H90" s="367">
        <f t="shared" si="35"/>
        <v>0.13769952850730907</v>
      </c>
      <c r="I90" s="367"/>
    </row>
    <row r="91" spans="2:9" x14ac:dyDescent="0.25">
      <c r="B91" s="364">
        <v>42571</v>
      </c>
      <c r="C91" s="365">
        <v>50</v>
      </c>
      <c r="D91" s="366">
        <v>79.449799999999996</v>
      </c>
      <c r="E91" s="366">
        <v>89.55</v>
      </c>
      <c r="F91" s="366">
        <f t="shared" si="33"/>
        <v>505.01000000000005</v>
      </c>
      <c r="G91" s="366">
        <f t="shared" si="34"/>
        <v>3972.49</v>
      </c>
      <c r="H91" s="367">
        <f t="shared" si="35"/>
        <v>0.12712681466787834</v>
      </c>
      <c r="I91" s="367"/>
    </row>
    <row r="92" spans="2:9" x14ac:dyDescent="0.25">
      <c r="B92" s="364">
        <v>42572</v>
      </c>
      <c r="C92" s="365">
        <v>50</v>
      </c>
      <c r="D92" s="366">
        <v>79.449799999999996</v>
      </c>
      <c r="E92" s="366">
        <v>87.46</v>
      </c>
      <c r="F92" s="366">
        <f t="shared" si="33"/>
        <v>400.50999999999988</v>
      </c>
      <c r="G92" s="366">
        <f t="shared" si="34"/>
        <v>3972.49</v>
      </c>
      <c r="H92" s="367">
        <f t="shared" si="35"/>
        <v>0.1008208957102472</v>
      </c>
      <c r="I92" s="367"/>
    </row>
    <row r="93" spans="2:9" x14ac:dyDescent="0.25">
      <c r="B93" s="364">
        <v>42575</v>
      </c>
      <c r="C93" s="365">
        <v>50</v>
      </c>
      <c r="D93" s="366">
        <v>79.449799999999996</v>
      </c>
      <c r="E93" s="366">
        <v>89.53</v>
      </c>
      <c r="F93" s="366">
        <f t="shared" si="33"/>
        <v>504.01000000000022</v>
      </c>
      <c r="G93" s="366">
        <f t="shared" si="34"/>
        <v>3972.49</v>
      </c>
      <c r="H93" s="367">
        <f t="shared" si="35"/>
        <v>0.12687508338598719</v>
      </c>
      <c r="I93" s="367"/>
    </row>
    <row r="94" spans="2:9" x14ac:dyDescent="0.25">
      <c r="B94" s="364">
        <v>42576</v>
      </c>
      <c r="C94" s="365">
        <v>50</v>
      </c>
      <c r="D94" s="366">
        <v>79.449799999999996</v>
      </c>
      <c r="E94" s="366">
        <v>88.86</v>
      </c>
      <c r="F94" s="366">
        <f t="shared" si="33"/>
        <v>470.51000000000016</v>
      </c>
      <c r="G94" s="366">
        <f t="shared" si="34"/>
        <v>3972.49</v>
      </c>
      <c r="H94" s="367">
        <f t="shared" si="35"/>
        <v>0.11844208544263174</v>
      </c>
      <c r="I94" s="367"/>
    </row>
    <row r="95" spans="2:9" x14ac:dyDescent="0.25">
      <c r="B95" s="364">
        <v>42577</v>
      </c>
      <c r="C95" s="365">
        <v>50</v>
      </c>
      <c r="D95" s="366">
        <v>79.449799999999996</v>
      </c>
      <c r="E95" s="366">
        <v>89.46</v>
      </c>
      <c r="F95" s="366">
        <f t="shared" si="33"/>
        <v>500.50999999999988</v>
      </c>
      <c r="G95" s="366">
        <f t="shared" si="34"/>
        <v>3972.49</v>
      </c>
      <c r="H95" s="367">
        <f t="shared" si="35"/>
        <v>0.12599402389936787</v>
      </c>
      <c r="I95" s="367"/>
    </row>
    <row r="96" spans="2:9" x14ac:dyDescent="0.25">
      <c r="B96" s="364">
        <v>42580</v>
      </c>
      <c r="C96" s="365">
        <v>30</v>
      </c>
      <c r="D96" s="366">
        <v>73.937700000000007</v>
      </c>
      <c r="E96" s="366">
        <v>87.72</v>
      </c>
      <c r="F96" s="366">
        <f t="shared" si="33"/>
        <v>413.46899999999977</v>
      </c>
      <c r="G96" s="366">
        <f t="shared" si="34"/>
        <v>2218.1310000000003</v>
      </c>
      <c r="H96" s="367">
        <f t="shared" si="35"/>
        <v>0.18640422950673324</v>
      </c>
      <c r="I96" s="367"/>
    </row>
    <row r="97" spans="2:9" x14ac:dyDescent="0.25">
      <c r="B97" s="364">
        <v>42580</v>
      </c>
      <c r="C97" s="365">
        <v>0</v>
      </c>
      <c r="D97" s="366"/>
      <c r="E97" s="366"/>
      <c r="F97" s="366">
        <v>420.99</v>
      </c>
      <c r="G97" s="366"/>
      <c r="H97" s="367"/>
      <c r="I97" s="367"/>
    </row>
    <row r="98" spans="2:9" x14ac:dyDescent="0.25">
      <c r="B98" s="365"/>
      <c r="C98" s="365"/>
      <c r="D98" s="366"/>
      <c r="E98" s="366"/>
      <c r="F98" s="366"/>
      <c r="G98" s="365"/>
      <c r="H98" s="365"/>
      <c r="I98" s="365"/>
    </row>
    <row r="99" spans="2:9" x14ac:dyDescent="0.25">
      <c r="B99" s="487" t="s">
        <v>113</v>
      </c>
      <c r="C99" s="487" t="s">
        <v>146</v>
      </c>
      <c r="D99" s="488" t="s">
        <v>145</v>
      </c>
      <c r="E99" s="489" t="s">
        <v>147</v>
      </c>
      <c r="F99" s="490" t="s">
        <v>65</v>
      </c>
      <c r="G99" s="491" t="s">
        <v>151</v>
      </c>
      <c r="H99" s="490" t="s">
        <v>88</v>
      </c>
      <c r="I99" s="490" t="s">
        <v>154</v>
      </c>
    </row>
    <row r="100" spans="2:9" x14ac:dyDescent="0.25">
      <c r="B100" s="364">
        <v>42608</v>
      </c>
      <c r="C100" s="365">
        <v>25</v>
      </c>
      <c r="D100" s="366">
        <v>78.95</v>
      </c>
      <c r="E100" s="366">
        <v>80.650000000000006</v>
      </c>
      <c r="F100" s="366">
        <f t="shared" ref="F100:F116" si="36">C100*(E100-D100)</f>
        <v>42.500000000000071</v>
      </c>
      <c r="G100" s="366">
        <f t="shared" ref="G100:G116" si="37">D100*C100</f>
        <v>1973.75</v>
      </c>
      <c r="H100" s="367">
        <f t="shared" ref="H100:H116" si="38">(E100-D100)/D100</f>
        <v>2.1532615579480718E-2</v>
      </c>
      <c r="I100" s="367"/>
    </row>
    <row r="101" spans="2:9" x14ac:dyDescent="0.25">
      <c r="B101" s="364">
        <v>42609</v>
      </c>
      <c r="C101" s="365">
        <v>25</v>
      </c>
      <c r="D101" s="366">
        <v>78.95</v>
      </c>
      <c r="E101" s="366">
        <v>80.180000000000007</v>
      </c>
      <c r="F101" s="366">
        <f t="shared" si="36"/>
        <v>30.750000000000099</v>
      </c>
      <c r="G101" s="366">
        <f t="shared" si="37"/>
        <v>1973.75</v>
      </c>
      <c r="H101" s="367">
        <f t="shared" si="38"/>
        <v>1.5579480683977251E-2</v>
      </c>
      <c r="I101" s="367"/>
    </row>
    <row r="102" spans="2:9" x14ac:dyDescent="0.25">
      <c r="B102" s="364">
        <v>42613</v>
      </c>
      <c r="C102" s="365">
        <v>25</v>
      </c>
      <c r="D102" s="366">
        <v>78.95</v>
      </c>
      <c r="E102" s="366">
        <v>81.98</v>
      </c>
      <c r="F102" s="366">
        <f t="shared" si="36"/>
        <v>75.750000000000028</v>
      </c>
      <c r="G102" s="366">
        <f t="shared" si="37"/>
        <v>1973.75</v>
      </c>
      <c r="H102" s="367">
        <f t="shared" si="38"/>
        <v>3.8378720709309699E-2</v>
      </c>
      <c r="I102" s="367"/>
    </row>
    <row r="103" spans="2:9" x14ac:dyDescent="0.25">
      <c r="B103" s="364">
        <v>42619</v>
      </c>
      <c r="C103" s="365">
        <v>25</v>
      </c>
      <c r="D103" s="366">
        <v>78.95</v>
      </c>
      <c r="E103" s="366">
        <v>81.099999999999994</v>
      </c>
      <c r="F103" s="366">
        <f t="shared" si="36"/>
        <v>53.749999999999787</v>
      </c>
      <c r="G103" s="366">
        <f t="shared" si="37"/>
        <v>1973.75</v>
      </c>
      <c r="H103" s="367">
        <f t="shared" si="38"/>
        <v>2.7232425585813697E-2</v>
      </c>
      <c r="I103" s="367"/>
    </row>
    <row r="104" spans="2:9" x14ac:dyDescent="0.25">
      <c r="B104" s="364">
        <v>42620</v>
      </c>
      <c r="C104" s="365">
        <v>25</v>
      </c>
      <c r="D104" s="366">
        <v>78.95</v>
      </c>
      <c r="E104" s="366">
        <v>82.48</v>
      </c>
      <c r="F104" s="366">
        <f t="shared" si="36"/>
        <v>88.250000000000028</v>
      </c>
      <c r="G104" s="366">
        <f t="shared" si="37"/>
        <v>1973.75</v>
      </c>
      <c r="H104" s="367">
        <f t="shared" si="38"/>
        <v>4.4711842938568724E-2</v>
      </c>
      <c r="I104" s="367"/>
    </row>
    <row r="105" spans="2:9" x14ac:dyDescent="0.25">
      <c r="B105" s="364">
        <v>42621</v>
      </c>
      <c r="C105" s="365">
        <v>25</v>
      </c>
      <c r="D105" s="366">
        <v>78.95</v>
      </c>
      <c r="E105" s="366">
        <v>81.77</v>
      </c>
      <c r="F105" s="366">
        <f t="shared" si="36"/>
        <v>70.499999999999829</v>
      </c>
      <c r="G105" s="366">
        <f t="shared" si="37"/>
        <v>1973.75</v>
      </c>
      <c r="H105" s="367">
        <f t="shared" si="38"/>
        <v>3.5718809373020813E-2</v>
      </c>
      <c r="I105" s="367"/>
    </row>
    <row r="106" spans="2:9" x14ac:dyDescent="0.25">
      <c r="B106" s="364">
        <v>42622</v>
      </c>
      <c r="C106" s="365">
        <v>25</v>
      </c>
      <c r="D106" s="366">
        <v>78.95</v>
      </c>
      <c r="E106" s="366">
        <v>76.900000000000006</v>
      </c>
      <c r="F106" s="366">
        <f t="shared" si="36"/>
        <v>-51.249999999999929</v>
      </c>
      <c r="G106" s="366">
        <f t="shared" si="37"/>
        <v>1973.75</v>
      </c>
      <c r="H106" s="367">
        <f t="shared" si="38"/>
        <v>-2.5965801139961966E-2</v>
      </c>
      <c r="I106" s="367"/>
    </row>
    <row r="107" spans="2:9" x14ac:dyDescent="0.25">
      <c r="B107" s="364">
        <v>42629</v>
      </c>
      <c r="C107" s="365">
        <v>25</v>
      </c>
      <c r="D107" s="366">
        <v>78.95</v>
      </c>
      <c r="E107" s="366">
        <v>77.77</v>
      </c>
      <c r="F107" s="366">
        <f t="shared" si="36"/>
        <v>-29.500000000000171</v>
      </c>
      <c r="G107" s="366">
        <f t="shared" si="37"/>
        <v>1973.75</v>
      </c>
      <c r="H107" s="367">
        <f t="shared" si="38"/>
        <v>-1.4946168461051384E-2</v>
      </c>
      <c r="I107" s="367"/>
    </row>
    <row r="108" spans="2:9" x14ac:dyDescent="0.25">
      <c r="B108" s="364">
        <v>42633</v>
      </c>
      <c r="C108" s="365">
        <v>25</v>
      </c>
      <c r="D108" s="366">
        <v>78.95</v>
      </c>
      <c r="E108" s="366">
        <v>75.52</v>
      </c>
      <c r="F108" s="366">
        <f t="shared" si="36"/>
        <v>-85.750000000000171</v>
      </c>
      <c r="G108" s="366">
        <f t="shared" si="37"/>
        <v>1973.75</v>
      </c>
      <c r="H108" s="367">
        <f t="shared" si="38"/>
        <v>-4.3445218492716993E-2</v>
      </c>
      <c r="I108" s="367"/>
    </row>
    <row r="109" spans="2:9" x14ac:dyDescent="0.25">
      <c r="B109" s="364">
        <v>42635</v>
      </c>
      <c r="C109" s="365">
        <v>25</v>
      </c>
      <c r="D109" s="366">
        <v>78.95</v>
      </c>
      <c r="E109" s="366">
        <v>77.27</v>
      </c>
      <c r="F109" s="366">
        <f t="shared" si="36"/>
        <v>-42.000000000000171</v>
      </c>
      <c r="G109" s="366">
        <f t="shared" si="37"/>
        <v>1973.75</v>
      </c>
      <c r="H109" s="367">
        <f t="shared" si="38"/>
        <v>-2.1279290690310409E-2</v>
      </c>
      <c r="I109" s="367"/>
    </row>
    <row r="110" spans="2:9" x14ac:dyDescent="0.25">
      <c r="B110" s="364">
        <v>42636</v>
      </c>
      <c r="C110" s="365">
        <v>25</v>
      </c>
      <c r="D110" s="366">
        <v>78.95</v>
      </c>
      <c r="E110" s="366">
        <v>78.97</v>
      </c>
      <c r="F110" s="366">
        <f t="shared" si="36"/>
        <v>0.49999999999990052</v>
      </c>
      <c r="G110" s="366">
        <f t="shared" si="37"/>
        <v>1973.75</v>
      </c>
      <c r="H110" s="367">
        <f t="shared" si="38"/>
        <v>2.533248891703106E-4</v>
      </c>
      <c r="I110" s="367"/>
    </row>
    <row r="111" spans="2:9" x14ac:dyDescent="0.25">
      <c r="B111" s="364">
        <v>42639</v>
      </c>
      <c r="C111" s="365">
        <v>55</v>
      </c>
      <c r="D111" s="366">
        <v>76.400000000000006</v>
      </c>
      <c r="E111" s="366">
        <v>76.31</v>
      </c>
      <c r="F111" s="366">
        <f t="shared" si="36"/>
        <v>-4.9500000000001876</v>
      </c>
      <c r="G111" s="366">
        <f t="shared" si="37"/>
        <v>4202</v>
      </c>
      <c r="H111" s="367">
        <f t="shared" si="38"/>
        <v>-1.1780104712042331E-3</v>
      </c>
      <c r="I111" s="367"/>
    </row>
    <row r="112" spans="2:9" x14ac:dyDescent="0.25">
      <c r="B112" s="364">
        <v>42643</v>
      </c>
      <c r="C112" s="365">
        <v>55</v>
      </c>
      <c r="D112" s="366">
        <v>76.402699999999996</v>
      </c>
      <c r="E112" s="366">
        <v>74.53</v>
      </c>
      <c r="F112" s="366">
        <f t="shared" si="36"/>
        <v>-102.99849999999971</v>
      </c>
      <c r="G112" s="366">
        <f t="shared" si="37"/>
        <v>4202.1484999999993</v>
      </c>
      <c r="H112" s="367">
        <f t="shared" si="38"/>
        <v>-2.4510913881315644E-2</v>
      </c>
      <c r="I112" s="367"/>
    </row>
    <row r="113" spans="1:10" x14ac:dyDescent="0.25">
      <c r="B113" s="364">
        <v>42646</v>
      </c>
      <c r="C113" s="365">
        <v>55</v>
      </c>
      <c r="D113" s="366">
        <v>76.402699999999996</v>
      </c>
      <c r="E113" s="366">
        <v>75.72</v>
      </c>
      <c r="F113" s="366">
        <f t="shared" si="36"/>
        <v>-37.548499999999834</v>
      </c>
      <c r="G113" s="366">
        <f t="shared" si="37"/>
        <v>4202.1484999999993</v>
      </c>
      <c r="H113" s="367">
        <f t="shared" si="38"/>
        <v>-8.9355480892690572E-3</v>
      </c>
      <c r="I113" s="367"/>
    </row>
    <row r="114" spans="1:10" x14ac:dyDescent="0.25">
      <c r="B114" s="364">
        <v>42647</v>
      </c>
      <c r="C114" s="365">
        <v>55</v>
      </c>
      <c r="D114" s="366">
        <v>76.402699999999996</v>
      </c>
      <c r="E114" s="366">
        <v>77.819999999999993</v>
      </c>
      <c r="F114" s="366">
        <f t="shared" si="36"/>
        <v>77.951499999999854</v>
      </c>
      <c r="G114" s="366">
        <f t="shared" si="37"/>
        <v>4202.1484999999993</v>
      </c>
      <c r="H114" s="367">
        <f t="shared" si="38"/>
        <v>1.8550391543754308E-2</v>
      </c>
      <c r="I114" s="367"/>
    </row>
    <row r="115" spans="1:10" x14ac:dyDescent="0.25">
      <c r="B115" s="364">
        <v>42648</v>
      </c>
      <c r="C115" s="365">
        <v>30</v>
      </c>
      <c r="D115" s="366">
        <v>74.272999999999996</v>
      </c>
      <c r="E115" s="366">
        <v>81.430000000000007</v>
      </c>
      <c r="F115" s="366">
        <f t="shared" si="36"/>
        <v>214.71000000000032</v>
      </c>
      <c r="G115" s="366">
        <f t="shared" si="37"/>
        <v>2228.19</v>
      </c>
      <c r="H115" s="367">
        <f t="shared" si="38"/>
        <v>9.6360723277638047E-2</v>
      </c>
      <c r="I115" s="367"/>
    </row>
    <row r="116" spans="1:10" x14ac:dyDescent="0.25">
      <c r="B116" s="364">
        <v>42649</v>
      </c>
      <c r="C116" s="365">
        <v>30</v>
      </c>
      <c r="D116" s="366">
        <v>74.272999999999996</v>
      </c>
      <c r="E116" s="366">
        <v>80.069999999999993</v>
      </c>
      <c r="F116" s="366">
        <f t="shared" si="36"/>
        <v>173.90999999999991</v>
      </c>
      <c r="G116" s="366">
        <f t="shared" si="37"/>
        <v>2228.19</v>
      </c>
      <c r="H116" s="367">
        <f t="shared" si="38"/>
        <v>7.8049897001602156E-2</v>
      </c>
      <c r="I116" s="367"/>
    </row>
    <row r="117" spans="1:10" x14ac:dyDescent="0.25">
      <c r="B117" s="364">
        <v>42671</v>
      </c>
      <c r="C117" s="365">
        <v>0</v>
      </c>
      <c r="D117" s="366"/>
      <c r="E117" s="366"/>
      <c r="F117" s="366">
        <v>234.16</v>
      </c>
      <c r="G117" s="366"/>
      <c r="H117" s="367"/>
      <c r="I117" s="367"/>
    </row>
    <row r="118" spans="1:10" x14ac:dyDescent="0.25">
      <c r="B118" s="364"/>
      <c r="C118" s="365"/>
      <c r="D118" s="366"/>
      <c r="E118" s="366"/>
      <c r="F118" s="366"/>
      <c r="G118" s="366"/>
      <c r="H118" s="367"/>
      <c r="I118" s="367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5">
        <f t="shared" ref="H120:H150" si="41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5">
        <f t="shared" si="41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5">
        <f t="shared" si="41"/>
        <v>1.5841399271731272E-2</v>
      </c>
      <c r="I122" s="10"/>
      <c r="J122" s="10"/>
    </row>
    <row r="123" spans="1:10" x14ac:dyDescent="0.25">
      <c r="A123" t="s">
        <v>346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5">
        <f t="shared" si="41"/>
        <v>1.3761638502831674E-3</v>
      </c>
      <c r="I123" s="10"/>
      <c r="J123" s="10"/>
    </row>
    <row r="124" spans="1:10" x14ac:dyDescent="0.25">
      <c r="A124" t="s">
        <v>346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5">
        <f t="shared" si="41"/>
        <v>2.8775462130698346E-2</v>
      </c>
      <c r="I124" s="10"/>
      <c r="J124" s="10"/>
    </row>
    <row r="125" spans="1:10" x14ac:dyDescent="0.25">
      <c r="A125" t="s">
        <v>384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5">
        <f t="shared" si="41"/>
        <v>-2.2272351342471561E-2</v>
      </c>
      <c r="I125" s="10"/>
      <c r="J125" s="10"/>
    </row>
    <row r="126" spans="1:10" x14ac:dyDescent="0.25">
      <c r="A126" t="s">
        <v>341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5">
        <f t="shared" si="41"/>
        <v>-5.5260740891927666E-2</v>
      </c>
      <c r="I126" s="10"/>
      <c r="J126" s="10"/>
    </row>
    <row r="127" spans="1:10" x14ac:dyDescent="0.25">
      <c r="A127" t="s">
        <v>408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5">
        <f t="shared" si="41"/>
        <v>-6.9567151517659423E-2</v>
      </c>
      <c r="I127" s="10"/>
      <c r="J127" s="10"/>
    </row>
    <row r="128" spans="1:10" x14ac:dyDescent="0.25">
      <c r="A128" t="s">
        <v>449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5">
        <f t="shared" si="41"/>
        <v>-4.8100597959901507E-2</v>
      </c>
      <c r="I128" s="10"/>
      <c r="J128" s="10"/>
    </row>
    <row r="129" spans="1:10" x14ac:dyDescent="0.25">
      <c r="A129" t="s">
        <v>470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5">
        <f t="shared" si="41"/>
        <v>-0.1088932703855202</v>
      </c>
      <c r="I129" s="10"/>
      <c r="J129" s="39"/>
    </row>
    <row r="130" spans="1:10" x14ac:dyDescent="0.25">
      <c r="A130" t="s">
        <v>470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5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5">
        <f t="shared" si="41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5">
        <f t="shared" si="41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5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5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5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5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5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5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5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5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5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5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5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5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5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5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5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5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5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5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2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3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0">
        <v>42527</v>
      </c>
      <c r="C180" s="253">
        <v>25</v>
      </c>
      <c r="D180" s="254">
        <v>85.59</v>
      </c>
      <c r="E180" s="254">
        <v>0</v>
      </c>
      <c r="F180" s="254">
        <f t="shared" si="42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3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0">
        <v>42535</v>
      </c>
      <c r="C181" s="253">
        <v>20</v>
      </c>
      <c r="D181" s="254">
        <v>82.75</v>
      </c>
      <c r="E181" s="254">
        <v>0</v>
      </c>
      <c r="F181" s="254">
        <f t="shared" si="42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3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2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3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2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3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2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3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39">
        <v>42746</v>
      </c>
      <c r="C188" s="638">
        <v>30</v>
      </c>
      <c r="D188" s="640">
        <v>81.81</v>
      </c>
      <c r="E188" s="640">
        <v>0</v>
      </c>
      <c r="F188" s="640">
        <f t="shared" ref="F188:F203" si="44">C188*D188+E188</f>
        <v>2454.3000000000002</v>
      </c>
      <c r="G188" s="639">
        <v>42746</v>
      </c>
      <c r="H188" s="638">
        <v>30</v>
      </c>
      <c r="I188" s="640">
        <v>81.599999999999994</v>
      </c>
      <c r="J188" s="640">
        <v>0.05</v>
      </c>
      <c r="K188" s="640">
        <f t="shared" ref="K188:K196" si="45">H188*I188-J188</f>
        <v>2447.9499999999998</v>
      </c>
      <c r="L188" s="639">
        <v>42794</v>
      </c>
      <c r="M188" s="640">
        <v>13</v>
      </c>
    </row>
    <row r="189" spans="1:13" x14ac:dyDescent="0.25">
      <c r="A189" s="253"/>
      <c r="B189" s="729">
        <v>42748</v>
      </c>
      <c r="C189" s="638">
        <v>20</v>
      </c>
      <c r="D189" s="640">
        <v>80.010000000000005</v>
      </c>
      <c r="E189" s="640">
        <v>0</v>
      </c>
      <c r="F189" s="640">
        <f t="shared" si="44"/>
        <v>1600.2</v>
      </c>
      <c r="G189" s="639">
        <v>42803</v>
      </c>
      <c r="H189" s="730">
        <v>100</v>
      </c>
      <c r="I189" s="640">
        <v>69.58</v>
      </c>
      <c r="J189" s="640">
        <v>0.15</v>
      </c>
      <c r="K189" s="640">
        <f t="shared" si="45"/>
        <v>6957.85</v>
      </c>
      <c r="L189" s="639">
        <v>42887</v>
      </c>
      <c r="M189" s="640">
        <v>62</v>
      </c>
    </row>
    <row r="190" spans="1:13" x14ac:dyDescent="0.25">
      <c r="A190" s="253"/>
      <c r="B190" s="729">
        <v>42754</v>
      </c>
      <c r="C190" s="638">
        <v>30</v>
      </c>
      <c r="D190" s="640">
        <v>80.88</v>
      </c>
      <c r="E190" s="640">
        <v>0</v>
      </c>
      <c r="F190" s="640">
        <f t="shared" si="44"/>
        <v>2426.3999999999996</v>
      </c>
      <c r="G190" s="639">
        <v>42804</v>
      </c>
      <c r="H190" s="730">
        <v>25</v>
      </c>
      <c r="I190" s="640">
        <v>72.58</v>
      </c>
      <c r="J190" s="640">
        <v>0.04</v>
      </c>
      <c r="K190" s="640">
        <f t="shared" si="45"/>
        <v>1814.46</v>
      </c>
      <c r="L190" s="639">
        <v>42978</v>
      </c>
      <c r="M190" s="640">
        <v>77.5</v>
      </c>
    </row>
    <row r="191" spans="1:13" x14ac:dyDescent="0.25">
      <c r="A191" s="253"/>
      <c r="B191" s="639">
        <v>42766</v>
      </c>
      <c r="C191" s="638">
        <v>25</v>
      </c>
      <c r="D191" s="640">
        <v>77</v>
      </c>
      <c r="E191" s="640">
        <v>0</v>
      </c>
      <c r="F191" s="640">
        <f t="shared" si="44"/>
        <v>1925</v>
      </c>
      <c r="G191" s="639">
        <v>42894</v>
      </c>
      <c r="H191" s="730">
        <v>50</v>
      </c>
      <c r="I191" s="640">
        <v>57</v>
      </c>
      <c r="J191" s="640">
        <v>0.06</v>
      </c>
      <c r="K191" s="640">
        <f t="shared" si="45"/>
        <v>2849.94</v>
      </c>
      <c r="L191" s="638"/>
      <c r="M191" s="638"/>
    </row>
    <row r="192" spans="1:13" x14ac:dyDescent="0.25">
      <c r="A192" s="253"/>
      <c r="B192" s="639">
        <v>42772</v>
      </c>
      <c r="C192" s="638">
        <v>25</v>
      </c>
      <c r="D192" s="640">
        <v>75.25</v>
      </c>
      <c r="E192" s="640">
        <v>0</v>
      </c>
      <c r="F192" s="640">
        <f t="shared" si="44"/>
        <v>1881.25</v>
      </c>
      <c r="G192" s="639">
        <v>42915</v>
      </c>
      <c r="H192" s="730">
        <v>100</v>
      </c>
      <c r="I192" s="640">
        <v>64.28</v>
      </c>
      <c r="J192" s="640">
        <v>0.15</v>
      </c>
      <c r="K192" s="640">
        <f t="shared" si="45"/>
        <v>6427.85</v>
      </c>
      <c r="L192" s="638"/>
      <c r="M192" s="638"/>
    </row>
    <row r="193" spans="1:13" x14ac:dyDescent="0.25">
      <c r="A193" s="253"/>
      <c r="B193" s="639">
        <v>42773</v>
      </c>
      <c r="C193" s="638">
        <v>25</v>
      </c>
      <c r="D193" s="640">
        <v>73.08</v>
      </c>
      <c r="E193" s="640">
        <v>0</v>
      </c>
      <c r="F193" s="640">
        <f t="shared" si="44"/>
        <v>1827</v>
      </c>
      <c r="G193" s="639">
        <v>42972</v>
      </c>
      <c r="H193" s="730">
        <v>100</v>
      </c>
      <c r="I193" s="640">
        <v>64</v>
      </c>
      <c r="J193" s="640">
        <v>0.15</v>
      </c>
      <c r="K193" s="640">
        <f t="shared" si="45"/>
        <v>6399.85</v>
      </c>
      <c r="L193" s="638"/>
      <c r="M193" s="638"/>
    </row>
    <row r="194" spans="1:13" x14ac:dyDescent="0.25">
      <c r="A194" s="253"/>
      <c r="B194" s="639">
        <v>42794</v>
      </c>
      <c r="C194" s="638">
        <v>50</v>
      </c>
      <c r="D194" s="640">
        <v>69.05</v>
      </c>
      <c r="E194" s="640">
        <v>0</v>
      </c>
      <c r="F194" s="640">
        <f t="shared" si="44"/>
        <v>3452.5</v>
      </c>
      <c r="G194" s="639">
        <v>42984</v>
      </c>
      <c r="H194" s="730">
        <v>150</v>
      </c>
      <c r="I194" s="640">
        <v>65.38</v>
      </c>
      <c r="J194" s="640">
        <v>0.23</v>
      </c>
      <c r="K194" s="640">
        <f t="shared" si="45"/>
        <v>9806.77</v>
      </c>
      <c r="L194" s="638"/>
      <c r="M194" s="638"/>
    </row>
    <row r="195" spans="1:13" x14ac:dyDescent="0.25">
      <c r="A195" s="253"/>
      <c r="B195" s="639">
        <v>42794</v>
      </c>
      <c r="C195" s="638">
        <v>50</v>
      </c>
      <c r="D195" s="640">
        <v>68.77</v>
      </c>
      <c r="E195" s="640">
        <v>0</v>
      </c>
      <c r="F195" s="640">
        <f t="shared" si="44"/>
        <v>3438.5</v>
      </c>
      <c r="G195" s="639">
        <v>42989</v>
      </c>
      <c r="H195" s="730">
        <v>100</v>
      </c>
      <c r="I195" s="640">
        <v>66.78</v>
      </c>
      <c r="J195" s="640">
        <v>0.15</v>
      </c>
      <c r="K195" s="640">
        <f t="shared" si="45"/>
        <v>6677.85</v>
      </c>
      <c r="L195" s="638"/>
      <c r="M195" s="638"/>
    </row>
    <row r="196" spans="1:13" x14ac:dyDescent="0.25">
      <c r="A196" s="253"/>
      <c r="B196" s="639">
        <v>42794</v>
      </c>
      <c r="C196" s="638">
        <v>50</v>
      </c>
      <c r="D196" s="640">
        <v>65.38</v>
      </c>
      <c r="E196" s="640">
        <v>0</v>
      </c>
      <c r="F196" s="640">
        <f t="shared" si="44"/>
        <v>3269</v>
      </c>
      <c r="G196" s="639">
        <v>43005</v>
      </c>
      <c r="H196" s="730">
        <v>100</v>
      </c>
      <c r="I196" s="640">
        <v>66.48</v>
      </c>
      <c r="J196" s="640">
        <v>0.15</v>
      </c>
      <c r="K196" s="640">
        <f t="shared" si="45"/>
        <v>6647.85</v>
      </c>
      <c r="L196" s="638"/>
      <c r="M196" s="638"/>
    </row>
    <row r="197" spans="1:13" x14ac:dyDescent="0.25">
      <c r="A197" s="253"/>
      <c r="B197" s="639">
        <v>42794</v>
      </c>
      <c r="C197" s="638">
        <v>25</v>
      </c>
      <c r="D197" s="640">
        <v>63.28</v>
      </c>
      <c r="E197" s="640">
        <v>0</v>
      </c>
      <c r="F197" s="640">
        <f t="shared" si="44"/>
        <v>1582</v>
      </c>
      <c r="G197" s="639"/>
      <c r="H197" s="730"/>
      <c r="I197" s="638"/>
      <c r="J197" s="638"/>
      <c r="K197" s="640"/>
      <c r="L197" s="638"/>
      <c r="M197" s="638"/>
    </row>
    <row r="198" spans="1:13" x14ac:dyDescent="0.25">
      <c r="A198" s="253"/>
      <c r="B198" s="639">
        <v>42808</v>
      </c>
      <c r="C198" s="638">
        <v>25</v>
      </c>
      <c r="D198" s="640">
        <v>67.88</v>
      </c>
      <c r="E198" s="640">
        <v>0</v>
      </c>
      <c r="F198" s="640">
        <f t="shared" si="44"/>
        <v>1697</v>
      </c>
      <c r="G198" s="639"/>
      <c r="H198" s="730"/>
      <c r="I198" s="638"/>
      <c r="J198" s="638"/>
      <c r="K198" s="640"/>
      <c r="L198" s="638"/>
      <c r="M198" s="638"/>
    </row>
    <row r="199" spans="1:13" x14ac:dyDescent="0.25">
      <c r="A199" s="253"/>
      <c r="B199" s="639">
        <v>42865</v>
      </c>
      <c r="C199" s="638">
        <v>100</v>
      </c>
      <c r="D199" s="640">
        <v>63.85</v>
      </c>
      <c r="E199" s="640">
        <v>0</v>
      </c>
      <c r="F199" s="640">
        <f t="shared" si="44"/>
        <v>6385</v>
      </c>
      <c r="G199" s="639"/>
      <c r="H199" s="730"/>
      <c r="I199" s="640"/>
      <c r="J199" s="638"/>
      <c r="K199" s="640"/>
      <c r="L199" s="638"/>
      <c r="M199" s="638"/>
    </row>
    <row r="200" spans="1:13" x14ac:dyDescent="0.25">
      <c r="A200" s="253"/>
      <c r="B200" s="639">
        <v>42866</v>
      </c>
      <c r="C200" s="638">
        <v>50</v>
      </c>
      <c r="D200" s="640">
        <v>61.1</v>
      </c>
      <c r="E200" s="640">
        <v>-0.2</v>
      </c>
      <c r="F200" s="640">
        <f t="shared" si="44"/>
        <v>3054.8</v>
      </c>
      <c r="G200" s="639"/>
      <c r="H200" s="730"/>
      <c r="I200" s="638"/>
      <c r="J200" s="638"/>
      <c r="K200" s="640"/>
      <c r="L200" s="638"/>
      <c r="M200" s="638"/>
    </row>
    <row r="201" spans="1:13" x14ac:dyDescent="0.25">
      <c r="A201" s="253"/>
      <c r="B201" s="639">
        <v>42879</v>
      </c>
      <c r="C201" s="638">
        <v>50</v>
      </c>
      <c r="D201" s="640">
        <v>53.3</v>
      </c>
      <c r="E201" s="640">
        <v>0</v>
      </c>
      <c r="F201" s="640">
        <f t="shared" si="44"/>
        <v>2665</v>
      </c>
      <c r="G201" s="639"/>
      <c r="H201" s="730"/>
      <c r="I201" s="638"/>
      <c r="J201" s="638"/>
      <c r="K201" s="640"/>
      <c r="L201" s="638"/>
      <c r="M201" s="638"/>
    </row>
    <row r="202" spans="1:13" x14ac:dyDescent="0.25">
      <c r="A202" s="253"/>
      <c r="B202" s="639">
        <v>42949</v>
      </c>
      <c r="C202" s="638">
        <v>50</v>
      </c>
      <c r="D202" s="640">
        <v>59.32</v>
      </c>
      <c r="E202" s="640">
        <v>0</v>
      </c>
      <c r="F202" s="640">
        <f t="shared" si="44"/>
        <v>2966</v>
      </c>
      <c r="G202" s="639"/>
      <c r="H202" s="730"/>
      <c r="I202" s="638"/>
      <c r="J202" s="638"/>
      <c r="K202" s="640"/>
      <c r="L202" s="638"/>
      <c r="M202" s="638"/>
    </row>
    <row r="203" spans="1:13" x14ac:dyDescent="0.25">
      <c r="A203" s="253"/>
      <c r="B203" s="639">
        <v>42957</v>
      </c>
      <c r="C203" s="638">
        <v>50</v>
      </c>
      <c r="D203" s="640">
        <v>55.78</v>
      </c>
      <c r="E203" s="640">
        <v>0</v>
      </c>
      <c r="F203" s="640">
        <f t="shared" si="44"/>
        <v>2789</v>
      </c>
      <c r="G203" s="638"/>
      <c r="H203" s="638"/>
      <c r="I203" s="638"/>
      <c r="J203" s="638"/>
      <c r="K203" s="640"/>
      <c r="L203" s="638"/>
      <c r="M203" s="638"/>
    </row>
    <row r="204" spans="1:13" x14ac:dyDescent="0.25">
      <c r="A204" s="253"/>
      <c r="B204" s="639">
        <v>42972</v>
      </c>
      <c r="C204" s="638">
        <v>100</v>
      </c>
      <c r="D204" s="640">
        <v>62.88</v>
      </c>
      <c r="E204" s="640">
        <v>0</v>
      </c>
      <c r="F204" s="640">
        <f>C204*D204+E204</f>
        <v>6288</v>
      </c>
      <c r="G204" s="639"/>
      <c r="H204" s="730"/>
      <c r="I204" s="638"/>
      <c r="J204" s="638"/>
      <c r="K204" s="640"/>
      <c r="L204" s="638"/>
      <c r="M204" s="638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2" t="s">
        <v>194</v>
      </c>
      <c r="B213" s="443"/>
      <c r="C213" s="444">
        <f>SumByColor($A$23,C179:C211)</f>
        <v>0</v>
      </c>
      <c r="D213" s="444"/>
      <c r="E213" s="444"/>
      <c r="F213" s="445">
        <f>SumByColor($A$23,F179:F211)</f>
        <v>0</v>
      </c>
      <c r="G213" s="444"/>
      <c r="H213" s="444">
        <f>SumByColor($A$23,H179:H211)</f>
        <v>0</v>
      </c>
      <c r="I213" s="444"/>
      <c r="J213" s="444"/>
      <c r="K213" s="445">
        <f>SumByColor($A$23,K179:K211)</f>
        <v>0</v>
      </c>
      <c r="L213" s="444"/>
      <c r="M213" s="445">
        <f>SumByColor($A$23,M179:M211)</f>
        <v>0</v>
      </c>
    </row>
  </sheetData>
  <conditionalFormatting sqref="N23">
    <cfRule type="expression" dxfId="2381" priority="64">
      <formula>N23&gt;0</formula>
    </cfRule>
    <cfRule type="expression" dxfId="238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79" priority="58">
      <formula>F79&gt;0</formula>
    </cfRule>
    <cfRule type="expression" dxfId="2378" priority="59">
      <formula>F79&lt;0</formula>
    </cfRule>
  </conditionalFormatting>
  <conditionalFormatting sqref="H79:H97 H101:H118">
    <cfRule type="expression" dxfId="2377" priority="56">
      <formula>H79&gt;0</formula>
    </cfRule>
    <cfRule type="expression" dxfId="2376" priority="57">
      <formula>H79&lt;0</formula>
    </cfRule>
  </conditionalFormatting>
  <conditionalFormatting sqref="I75:I97 I100:I118">
    <cfRule type="expression" dxfId="2375" priority="54">
      <formula>I75&gt;0</formula>
    </cfRule>
    <cfRule type="expression" dxfId="2374" priority="55">
      <formula>I75&lt;0</formula>
    </cfRule>
  </conditionalFormatting>
  <conditionalFormatting sqref="Q7">
    <cfRule type="expression" dxfId="2373" priority="52">
      <formula>Q7&gt;0</formula>
    </cfRule>
    <cfRule type="expression" dxfId="2372" priority="53">
      <formula>Q7&lt;0</formula>
    </cfRule>
  </conditionalFormatting>
  <conditionalFormatting sqref="Q8">
    <cfRule type="expression" dxfId="2371" priority="50">
      <formula>Q8&gt;0</formula>
    </cfRule>
    <cfRule type="expression" dxfId="2370" priority="51">
      <formula>Q8&lt;0</formula>
    </cfRule>
  </conditionalFormatting>
  <conditionalFormatting sqref="F75:F78">
    <cfRule type="expression" dxfId="2369" priority="48">
      <formula>F75&gt;0</formula>
    </cfRule>
    <cfRule type="expression" dxfId="2368" priority="49">
      <formula>F75&lt;0</formula>
    </cfRule>
  </conditionalFormatting>
  <conditionalFormatting sqref="H75:H78">
    <cfRule type="expression" dxfId="2367" priority="46">
      <formula>H75&gt;0</formula>
    </cfRule>
    <cfRule type="expression" dxfId="2366" priority="47">
      <formula>H75&lt;0</formula>
    </cfRule>
  </conditionalFormatting>
  <conditionalFormatting sqref="F100:F114">
    <cfRule type="expression" dxfId="2365" priority="40">
      <formula>F100&gt;0</formula>
    </cfRule>
    <cfRule type="expression" dxfId="2364" priority="41">
      <formula>F100&lt;0</formula>
    </cfRule>
  </conditionalFormatting>
  <conditionalFormatting sqref="H100:H114">
    <cfRule type="expression" dxfId="2363" priority="38">
      <formula>H100&gt;0</formula>
    </cfRule>
    <cfRule type="expression" dxfId="2362" priority="39">
      <formula>H100&lt;0</formula>
    </cfRule>
  </conditionalFormatting>
  <conditionalFormatting sqref="F29:F61">
    <cfRule type="expression" dxfId="2361" priority="36">
      <formula>F29&gt;0</formula>
    </cfRule>
    <cfRule type="expression" dxfId="2360" priority="37">
      <formula>F29&lt;0</formula>
    </cfRule>
  </conditionalFormatting>
  <conditionalFormatting sqref="H29:H61">
    <cfRule type="expression" dxfId="2359" priority="34">
      <formula>H29&gt;0</formula>
    </cfRule>
    <cfRule type="expression" dxfId="2358" priority="35">
      <formula>H29&lt;0</formula>
    </cfRule>
  </conditionalFormatting>
  <conditionalFormatting sqref="J38:J68">
    <cfRule type="expression" dxfId="2357" priority="32">
      <formula>J38&gt;0</formula>
    </cfRule>
    <cfRule type="expression" dxfId="2356" priority="33">
      <formula>J38&lt;0</formula>
    </cfRule>
  </conditionalFormatting>
  <conditionalFormatting sqref="J43">
    <cfRule type="expression" dxfId="2355" priority="30">
      <formula>J43&gt;0</formula>
    </cfRule>
    <cfRule type="expression" dxfId="2354" priority="31">
      <formula>J43&lt;0</formula>
    </cfRule>
  </conditionalFormatting>
  <conditionalFormatting sqref="Q9">
    <cfRule type="expression" dxfId="2353" priority="24">
      <formula>Q9&gt;0</formula>
    </cfRule>
    <cfRule type="expression" dxfId="2352" priority="25">
      <formula>Q9&lt;0</formula>
    </cfRule>
  </conditionalFormatting>
  <conditionalFormatting sqref="R4">
    <cfRule type="expression" dxfId="2351" priority="26">
      <formula>R4&gt;0</formula>
    </cfRule>
    <cfRule type="expression" dxfId="235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49" priority="21">
      <formula>F120&gt;0</formula>
    </cfRule>
    <cfRule type="expression" dxfId="2348" priority="22">
      <formula>F120&lt;0</formula>
    </cfRule>
  </conditionalFormatting>
  <conditionalFormatting sqref="H120:H160">
    <cfRule type="expression" dxfId="2347" priority="19">
      <formula>H120&gt;0</formula>
    </cfRule>
    <cfRule type="expression" dxfId="2346" priority="20">
      <formula>H120&lt;0</formula>
    </cfRule>
  </conditionalFormatting>
  <conditionalFormatting sqref="J129:J160">
    <cfRule type="expression" dxfId="2345" priority="17">
      <formula>J129&gt;0</formula>
    </cfRule>
    <cfRule type="expression" dxfId="2344" priority="18">
      <formula>J129&lt;0</formula>
    </cfRule>
  </conditionalFormatting>
  <conditionalFormatting sqref="J134">
    <cfRule type="expression" dxfId="2343" priority="15">
      <formula>J134&gt;0</formula>
    </cfRule>
    <cfRule type="expression" dxfId="2342" priority="16">
      <formula>J134&lt;0</formula>
    </cfRule>
  </conditionalFormatting>
  <conditionalFormatting sqref="J31:J40">
    <cfRule type="expression" dxfId="2341" priority="13">
      <formula>J31&gt;0</formula>
    </cfRule>
    <cfRule type="expression" dxfId="2340" priority="14">
      <formula>J31&lt;0</formula>
    </cfRule>
  </conditionalFormatting>
  <conditionalFormatting sqref="J36:J37">
    <cfRule type="expression" dxfId="2339" priority="11">
      <formula>J36&gt;0</formula>
    </cfRule>
    <cfRule type="expression" dxfId="2338" priority="12">
      <formula>J36&lt;0</formula>
    </cfRule>
  </conditionalFormatting>
  <conditionalFormatting sqref="Q10">
    <cfRule type="expression" dxfId="2337" priority="9">
      <formula>Q10&gt;0</formula>
    </cfRule>
    <cfRule type="expression" dxfId="2336" priority="10">
      <formula>Q10&lt;0</formula>
    </cfRule>
  </conditionalFormatting>
  <conditionalFormatting sqref="K38:K55 K57:K68">
    <cfRule type="expression" dxfId="2335" priority="7">
      <formula>K38&gt;0</formula>
    </cfRule>
    <cfRule type="expression" dxfId="2334" priority="8">
      <formula>K38&lt;0</formula>
    </cfRule>
  </conditionalFormatting>
  <conditionalFormatting sqref="K43">
    <cfRule type="expression" dxfId="2333" priority="5">
      <formula>K43&gt;0</formula>
    </cfRule>
    <cfRule type="expression" dxfId="2332" priority="6">
      <formula>K43&lt;0</formula>
    </cfRule>
  </conditionalFormatting>
  <conditionalFormatting sqref="K31:K40">
    <cfRule type="expression" dxfId="2331" priority="3">
      <formula>K31&gt;0</formula>
    </cfRule>
    <cfRule type="expression" dxfId="2330" priority="4">
      <formula>K31&lt;0</formula>
    </cfRule>
  </conditionalFormatting>
  <conditionalFormatting sqref="K36:K37">
    <cfRule type="expression" dxfId="2329" priority="1">
      <formula>K36&gt;0</formula>
    </cfRule>
    <cfRule type="expression" dxfId="232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3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3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3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4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5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7" t="s">
        <v>78</v>
      </c>
      <c r="P42" s="847"/>
      <c r="T42" s="106" t="s">
        <v>99</v>
      </c>
      <c r="U42" s="355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5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5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5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5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5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5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5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6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6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5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5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5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5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0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0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1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1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2"/>
      <c r="B74" s="443"/>
      <c r="C74" s="444"/>
      <c r="D74" s="444"/>
      <c r="E74" s="444"/>
      <c r="F74" s="445"/>
      <c r="G74" s="444"/>
      <c r="H74" s="444"/>
      <c r="I74" s="444"/>
      <c r="J74" s="444"/>
      <c r="K74" s="445"/>
      <c r="L74" s="444"/>
      <c r="M74" s="445"/>
    </row>
  </sheetData>
  <mergeCells count="1">
    <mergeCell ref="O42:P42"/>
  </mergeCells>
  <conditionalFormatting sqref="N19">
    <cfRule type="expression" dxfId="2327" priority="35">
      <formula>N19&gt;0</formula>
    </cfRule>
    <cfRule type="expression" dxfId="232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25" priority="21">
      <formula>F25&gt;0</formula>
    </cfRule>
    <cfRule type="expression" dxfId="2324" priority="22">
      <formula>F25&lt;0</formula>
    </cfRule>
  </conditionalFormatting>
  <conditionalFormatting sqref="H25:H47">
    <cfRule type="expression" dxfId="2323" priority="19">
      <formula>H25&gt;0</formula>
    </cfRule>
    <cfRule type="expression" dxfId="2322" priority="20">
      <formula>H25&lt;0</formula>
    </cfRule>
  </conditionalFormatting>
  <conditionalFormatting sqref="I25:I27">
    <cfRule type="expression" dxfId="2321" priority="15">
      <formula>I25&gt;0</formula>
    </cfRule>
    <cfRule type="expression" dxfId="2320" priority="16">
      <formula>I25&lt;0</formula>
    </cfRule>
  </conditionalFormatting>
  <conditionalFormatting sqref="Q7">
    <cfRule type="expression" dxfId="2319" priority="5">
      <formula>Q7&gt;0</formula>
    </cfRule>
    <cfRule type="expression" dxfId="2318" priority="6">
      <formula>Q7&lt;0</formula>
    </cfRule>
  </conditionalFormatting>
  <conditionalFormatting sqref="Q8">
    <cfRule type="expression" dxfId="2317" priority="3">
      <formula>Q8&gt;0</formula>
    </cfRule>
    <cfRule type="expression" dxfId="231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78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1" t="s">
        <v>1</v>
      </c>
      <c r="B49" s="371" t="s">
        <v>2</v>
      </c>
      <c r="C49" s="371" t="s">
        <v>4</v>
      </c>
      <c r="D49" s="373" t="s">
        <v>5</v>
      </c>
      <c r="E49" s="373" t="s">
        <v>94</v>
      </c>
      <c r="F49" s="373" t="s">
        <v>60</v>
      </c>
      <c r="G49" s="371" t="s">
        <v>3</v>
      </c>
      <c r="H49" s="371" t="s">
        <v>6</v>
      </c>
      <c r="I49" s="373" t="s">
        <v>7</v>
      </c>
      <c r="J49" s="373" t="s">
        <v>95</v>
      </c>
      <c r="K49" s="373" t="s">
        <v>61</v>
      </c>
      <c r="L49" s="371" t="s">
        <v>37</v>
      </c>
      <c r="M49" s="371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4" t="s">
        <v>226</v>
      </c>
      <c r="B50" s="364">
        <v>42548</v>
      </c>
      <c r="C50" s="365">
        <v>40</v>
      </c>
      <c r="D50" s="366">
        <v>59.08</v>
      </c>
      <c r="E50" s="366">
        <v>0</v>
      </c>
      <c r="F50" s="366">
        <f>D50*C50+E50</f>
        <v>2363.1999999999998</v>
      </c>
      <c r="G50" s="364">
        <v>42580</v>
      </c>
      <c r="H50" s="369">
        <v>40</v>
      </c>
      <c r="I50" s="366">
        <v>64.58</v>
      </c>
      <c r="J50" s="366">
        <v>0.06</v>
      </c>
      <c r="K50" s="366">
        <f>I50*H50-J50</f>
        <v>2583.14</v>
      </c>
      <c r="L50" s="364">
        <v>42592</v>
      </c>
      <c r="M50" s="365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5" t="s">
        <v>71</v>
      </c>
      <c r="B51" s="364"/>
      <c r="C51" s="365"/>
      <c r="D51" s="366"/>
      <c r="E51" s="366"/>
      <c r="F51" s="366"/>
      <c r="G51" s="365"/>
      <c r="H51" s="369"/>
      <c r="I51" s="366"/>
      <c r="J51" s="366"/>
      <c r="K51" s="366"/>
      <c r="L51" s="365"/>
      <c r="M51" s="365"/>
      <c r="O51" s="81">
        <v>1</v>
      </c>
      <c r="P51" s="81">
        <f t="shared" si="5"/>
        <v>93.58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5"/>
      <c r="B52" s="364"/>
      <c r="C52" s="365"/>
      <c r="D52" s="366"/>
      <c r="E52" s="366"/>
      <c r="F52" s="366"/>
      <c r="G52" s="365"/>
      <c r="H52" s="369"/>
      <c r="I52" s="366"/>
      <c r="J52" s="366"/>
      <c r="K52" s="366"/>
      <c r="L52" s="365"/>
      <c r="M52" s="365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5"/>
      <c r="B53" s="364"/>
      <c r="C53" s="365"/>
      <c r="D53" s="366"/>
      <c r="E53" s="366"/>
      <c r="F53" s="366"/>
      <c r="G53" s="365"/>
      <c r="H53" s="369"/>
      <c r="I53" s="366"/>
      <c r="J53" s="366"/>
      <c r="K53" s="366"/>
      <c r="L53" s="365"/>
      <c r="M53" s="365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5"/>
      <c r="B54" s="364"/>
      <c r="C54" s="365"/>
      <c r="D54" s="366"/>
      <c r="E54" s="366"/>
      <c r="F54" s="366"/>
      <c r="G54" s="365"/>
      <c r="H54" s="369"/>
      <c r="I54" s="366"/>
      <c r="J54" s="366"/>
      <c r="K54" s="366"/>
      <c r="L54" s="365"/>
      <c r="M54" s="365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5"/>
        <v>89.836799999999997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5"/>
        <v>87.02940000000001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5"/>
      <c r="I65" s="366"/>
      <c r="J65" s="366"/>
      <c r="K65" s="366"/>
      <c r="L65" s="365"/>
      <c r="M65" s="36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7" t="s">
        <v>194</v>
      </c>
      <c r="B67" s="448"/>
      <c r="C67" s="449">
        <f>SumByColor($A$19,C50:C65)</f>
        <v>0</v>
      </c>
      <c r="D67" s="449"/>
      <c r="E67" s="449"/>
      <c r="F67" s="450">
        <f>SumByColor($A$19,F50:F65)</f>
        <v>0</v>
      </c>
      <c r="G67" s="449"/>
      <c r="H67" s="449">
        <f>SumByColor($A$19,H50:H65)</f>
        <v>0</v>
      </c>
      <c r="I67" s="449"/>
      <c r="J67" s="449"/>
      <c r="K67" s="450">
        <f>SumByColor($A$19,K50:K65)</f>
        <v>0</v>
      </c>
      <c r="L67" s="449"/>
      <c r="M67" s="450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15" priority="9">
      <formula>F36&gt;0</formula>
    </cfRule>
    <cfRule type="expression" dxfId="2314" priority="10">
      <formula>F36&lt;0</formula>
    </cfRule>
  </conditionalFormatting>
  <conditionalFormatting sqref="F25:F35">
    <cfRule type="expression" dxfId="2313" priority="7">
      <formula>F25&gt;0</formula>
    </cfRule>
    <cfRule type="expression" dxfId="2312" priority="8">
      <formula>F25&lt;0</formula>
    </cfRule>
  </conditionalFormatting>
  <conditionalFormatting sqref="H25:H35">
    <cfRule type="expression" dxfId="2311" priority="5">
      <formula>H25&gt;0</formula>
    </cfRule>
    <cfRule type="expression" dxfId="2310" priority="6">
      <formula>H25&lt;0</formula>
    </cfRule>
  </conditionalFormatting>
  <conditionalFormatting sqref="Q7">
    <cfRule type="expression" dxfId="2309" priority="3">
      <formula>Q7&gt;0</formula>
    </cfRule>
    <cfRule type="expression" dxfId="2308" priority="4">
      <formula>Q7&lt;0</formula>
    </cfRule>
  </conditionalFormatting>
  <conditionalFormatting sqref="Q8">
    <cfRule type="expression" dxfId="2307" priority="1">
      <formula>Q8&gt;0</formula>
    </cfRule>
    <cfRule type="expression" dxfId="230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498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708</v>
      </c>
      <c r="P20" s="7" t="s">
        <v>709</v>
      </c>
      <c r="Q20" s="7" t="s">
        <v>710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711</v>
      </c>
      <c r="P21" s="7">
        <v>1.095</v>
      </c>
      <c r="Q21" s="68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712</v>
      </c>
      <c r="P22" s="7">
        <v>1.0920000000000001</v>
      </c>
      <c r="Q22" s="68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713</v>
      </c>
      <c r="P23" s="7" t="s">
        <v>714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7" t="s">
        <v>695</v>
      </c>
      <c r="P24" s="7" t="s">
        <v>715</v>
      </c>
      <c r="Q24" s="7" t="s">
        <v>715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713</v>
      </c>
      <c r="P25" s="7" t="s">
        <v>716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717</v>
      </c>
      <c r="P26" s="7" t="s">
        <v>709</v>
      </c>
      <c r="Q26" s="7" t="s">
        <v>710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712</v>
      </c>
      <c r="P28" s="7">
        <v>0.92200000000000004</v>
      </c>
      <c r="Q28" s="68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695</v>
      </c>
      <c r="P29" s="7" t="s">
        <v>715</v>
      </c>
      <c r="Q29" s="7" t="s">
        <v>715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718</v>
      </c>
      <c r="P30" s="7" t="s">
        <v>709</v>
      </c>
      <c r="Q30" s="7" t="s">
        <v>710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711</v>
      </c>
      <c r="P32" s="7">
        <v>1.026</v>
      </c>
      <c r="Q32" s="68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27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267</v>
      </c>
      <c r="B68" s="499">
        <v>42619</v>
      </c>
      <c r="C68" s="500">
        <v>20</v>
      </c>
      <c r="D68" s="502">
        <v>72.08</v>
      </c>
      <c r="E68" s="502">
        <v>0</v>
      </c>
      <c r="F68" s="502">
        <f>C68*D68+E68</f>
        <v>1441.6</v>
      </c>
      <c r="G68" s="499">
        <v>42683</v>
      </c>
      <c r="H68" s="517">
        <v>35</v>
      </c>
      <c r="I68" s="502">
        <v>71.36</v>
      </c>
      <c r="J68" s="502">
        <v>0.05</v>
      </c>
      <c r="K68" s="502">
        <f>H68*I68-J68</f>
        <v>2497.5499999999997</v>
      </c>
      <c r="L68" s="499">
        <v>42642</v>
      </c>
      <c r="M68" s="50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>
        <v>42621</v>
      </c>
      <c r="C69" s="500">
        <v>20</v>
      </c>
      <c r="D69" s="502">
        <v>70.45</v>
      </c>
      <c r="E69" s="502">
        <v>0</v>
      </c>
      <c r="F69" s="502">
        <f>C69*D69+E69</f>
        <v>1409</v>
      </c>
      <c r="G69" s="499">
        <v>42684</v>
      </c>
      <c r="H69" s="517">
        <v>30</v>
      </c>
      <c r="I69" s="502">
        <v>73.28</v>
      </c>
      <c r="J69" s="502">
        <v>0.05</v>
      </c>
      <c r="K69" s="502">
        <f>H69*I69-J69</f>
        <v>2198.35</v>
      </c>
      <c r="L69" s="500"/>
      <c r="M69" s="500"/>
      <c r="AD69" s="2"/>
      <c r="AE69" s="134"/>
    </row>
    <row r="70" spans="1:31" x14ac:dyDescent="0.25">
      <c r="A70" s="500"/>
      <c r="B70" s="499">
        <v>42648</v>
      </c>
      <c r="C70" s="500">
        <v>25</v>
      </c>
      <c r="D70" s="502">
        <v>67.88</v>
      </c>
      <c r="E70" s="502">
        <v>0</v>
      </c>
      <c r="F70" s="502">
        <f>C70*D70+E70</f>
        <v>1697</v>
      </c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37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7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0"/>
      <c r="B73" s="437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7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0"/>
      <c r="B74" s="437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7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437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7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437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7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SUM(C68:C83)</f>
        <v>365</v>
      </c>
      <c r="D84" s="521"/>
      <c r="E84" s="521"/>
      <c r="F84" s="521">
        <f>SUM(F68:F83)</f>
        <v>26186.6</v>
      </c>
      <c r="G84" s="520"/>
      <c r="H84" s="542">
        <f>SUM(H68:H83)</f>
        <v>365</v>
      </c>
      <c r="I84" s="521"/>
      <c r="J84" s="521"/>
      <c r="K84" s="521">
        <f>SUM(K68:K83)</f>
        <v>27969.379999999997</v>
      </c>
      <c r="L84" s="520"/>
      <c r="M84" s="521">
        <f>SUM(M68:M83)</f>
        <v>75</v>
      </c>
    </row>
    <row r="85" spans="1:13" ht="15.75" thickBot="1" x14ac:dyDescent="0.3">
      <c r="A85" s="522" t="s">
        <v>194</v>
      </c>
      <c r="B85" s="523"/>
      <c r="C85" s="524">
        <f>SumByColor($A$19,C68:C83)</f>
        <v>250</v>
      </c>
      <c r="D85" s="524"/>
      <c r="E85" s="524"/>
      <c r="F85" s="525">
        <f>SumByColor($A$19,F68:F83)</f>
        <v>17820</v>
      </c>
      <c r="G85" s="524"/>
      <c r="H85" s="524">
        <f>SumByColor($A$19,H68:H83)</f>
        <v>250</v>
      </c>
      <c r="I85" s="524"/>
      <c r="J85" s="524"/>
      <c r="K85" s="525">
        <f>SumByColor($A$19,K68:K83)</f>
        <v>18894</v>
      </c>
      <c r="L85" s="524"/>
      <c r="M85" s="525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05" priority="37">
      <formula>F25&gt;0</formula>
    </cfRule>
    <cfRule type="expression" dxfId="2304" priority="38">
      <formula>F25&lt;0</formula>
    </cfRule>
  </conditionalFormatting>
  <conditionalFormatting sqref="Q7">
    <cfRule type="expression" dxfId="2303" priority="35">
      <formula>Q7&gt;0</formula>
    </cfRule>
    <cfRule type="expression" dxfId="2302" priority="36">
      <formula>Q7&lt;0</formula>
    </cfRule>
  </conditionalFormatting>
  <conditionalFormatting sqref="Q8">
    <cfRule type="expression" dxfId="2301" priority="33">
      <formula>Q8&gt;0</formula>
    </cfRule>
    <cfRule type="expression" dxfId="2300" priority="34">
      <formula>Q8&lt;0</formula>
    </cfRule>
  </conditionalFormatting>
  <conditionalFormatting sqref="F44:F46">
    <cfRule type="expression" dxfId="2299" priority="31">
      <formula>F44&gt;0</formula>
    </cfRule>
    <cfRule type="expression" dxfId="2298" priority="32">
      <formula>F44&lt;0</formula>
    </cfRule>
  </conditionalFormatting>
  <conditionalFormatting sqref="H44:H46">
    <cfRule type="expression" dxfId="2297" priority="29">
      <formula>H44&gt;0</formula>
    </cfRule>
    <cfRule type="expression" dxfId="2296" priority="30">
      <formula>H44&lt;0</formula>
    </cfRule>
  </conditionalFormatting>
  <conditionalFormatting sqref="F89:F110">
    <cfRule type="expression" dxfId="2295" priority="27">
      <formula>F89&gt;0</formula>
    </cfRule>
    <cfRule type="expression" dxfId="2294" priority="28">
      <formula>F89&lt;0</formula>
    </cfRule>
  </conditionalFormatting>
  <conditionalFormatting sqref="H89:H110">
    <cfRule type="expression" dxfId="2293" priority="25">
      <formula>H89&gt;0</formula>
    </cfRule>
    <cfRule type="expression" dxfId="2292" priority="26">
      <formula>H89&lt;0</formula>
    </cfRule>
  </conditionalFormatting>
  <conditionalFormatting sqref="Q10">
    <cfRule type="expression" dxfId="2291" priority="23">
      <formula>Q10&gt;0</formula>
    </cfRule>
    <cfRule type="expression" dxfId="2290" priority="24">
      <formula>Q10&lt;0</formula>
    </cfRule>
  </conditionalFormatting>
  <conditionalFormatting sqref="J25:J38">
    <cfRule type="expression" dxfId="2289" priority="21">
      <formula>J25&gt;0</formula>
    </cfRule>
    <cfRule type="expression" dxfId="2288" priority="22">
      <formula>J25&lt;0</formula>
    </cfRule>
  </conditionalFormatting>
  <conditionalFormatting sqref="K25:K38">
    <cfRule type="expression" dxfId="2287" priority="19">
      <formula>K25&gt;0</formula>
    </cfRule>
    <cfRule type="expression" dxfId="2286" priority="20">
      <formula>K25&lt;0</formula>
    </cfRule>
  </conditionalFormatting>
  <conditionalFormatting sqref="L25:L38">
    <cfRule type="expression" dxfId="2285" priority="17">
      <formula>L25&gt;0</formula>
    </cfRule>
    <cfRule type="expression" dxfId="2284" priority="18">
      <formula>L25&lt;0</formula>
    </cfRule>
  </conditionalFormatting>
  <conditionalFormatting sqref="J40">
    <cfRule type="expression" dxfId="2283" priority="15">
      <formula>J40&gt;0</formula>
    </cfRule>
    <cfRule type="expression" dxfId="2282" priority="16">
      <formula>J40&lt;0</formula>
    </cfRule>
  </conditionalFormatting>
  <conditionalFormatting sqref="L39">
    <cfRule type="expression" dxfId="2281" priority="11">
      <formula>L39&gt;0</formula>
    </cfRule>
    <cfRule type="expression" dxfId="2280" priority="12">
      <formula>L39&lt;0</formula>
    </cfRule>
  </conditionalFormatting>
  <conditionalFormatting sqref="F39">
    <cfRule type="expression" dxfId="2279" priority="9">
      <formula>F39&gt;0</formula>
    </cfRule>
    <cfRule type="expression" dxfId="2278" priority="10">
      <formula>F39&lt;0</formula>
    </cfRule>
  </conditionalFormatting>
  <conditionalFormatting sqref="H39">
    <cfRule type="expression" dxfId="2277" priority="7">
      <formula>H39&gt;0</formula>
    </cfRule>
    <cfRule type="expression" dxfId="2276" priority="8">
      <formula>H39&lt;0</formula>
    </cfRule>
  </conditionalFormatting>
  <conditionalFormatting sqref="J41">
    <cfRule type="expression" dxfId="2275" priority="5">
      <formula>J41&gt;0</formula>
    </cfRule>
    <cfRule type="expression" dxfId="2274" priority="6">
      <formula>J41&lt;0</formula>
    </cfRule>
  </conditionalFormatting>
  <conditionalFormatting sqref="J43">
    <cfRule type="expression" dxfId="2273" priority="3">
      <formula>J43&gt;0</formula>
    </cfRule>
    <cfRule type="expression" dxfId="2272" priority="4">
      <formula>J43&lt;0</formula>
    </cfRule>
  </conditionalFormatting>
  <conditionalFormatting sqref="J44">
    <cfRule type="expression" dxfId="2271" priority="1">
      <formula>J44&gt;0</formula>
    </cfRule>
    <cfRule type="expression" dxfId="227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31.9</v>
      </c>
      <c r="Y2" s="39">
        <v>32.130000000000003</v>
      </c>
      <c r="Z2" s="39">
        <v>31.57</v>
      </c>
      <c r="AA2" s="352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2">
        <v>32.1</v>
      </c>
      <c r="Y3" s="39">
        <v>32.1</v>
      </c>
      <c r="Z3" s="39">
        <v>31.67</v>
      </c>
      <c r="AA3" s="352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78">
        <v>7.7999999999999996E-3</v>
      </c>
      <c r="T4" s="118"/>
      <c r="W4" s="92">
        <v>42828</v>
      </c>
      <c r="X4" s="352">
        <v>31.84</v>
      </c>
      <c r="Y4" s="39">
        <v>32.200000000000003</v>
      </c>
      <c r="Z4" s="39">
        <v>31.82</v>
      </c>
      <c r="AA4" s="352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31.85</v>
      </c>
      <c r="Y5" s="39">
        <v>32.090000000000003</v>
      </c>
      <c r="Z5" s="39">
        <v>31.76</v>
      </c>
      <c r="AA5" s="352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31.52</v>
      </c>
      <c r="Y6" s="39">
        <v>31.92</v>
      </c>
      <c r="Z6" s="39">
        <v>31.46</v>
      </c>
      <c r="AA6" s="352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2">
        <v>31.87</v>
      </c>
      <c r="Y7" s="39">
        <v>31.88</v>
      </c>
      <c r="Z7" s="39">
        <v>31.46</v>
      </c>
      <c r="AA7" s="352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31.14</v>
      </c>
      <c r="Y8" s="39">
        <v>31.89</v>
      </c>
      <c r="Z8" s="39">
        <v>30.82</v>
      </c>
      <c r="AA8" s="352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29.99</v>
      </c>
      <c r="Y9" s="39">
        <v>30.37</v>
      </c>
      <c r="Z9" s="39">
        <v>29.99</v>
      </c>
      <c r="AA9" s="352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2">
        <v>29.9</v>
      </c>
      <c r="Y10" s="39">
        <v>30.3</v>
      </c>
      <c r="Z10" s="39">
        <v>29.8</v>
      </c>
      <c r="AA10" s="352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30.09</v>
      </c>
      <c r="Y11" s="39">
        <v>30.2</v>
      </c>
      <c r="Z11" s="39">
        <v>29.79</v>
      </c>
      <c r="AA11" s="352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2">
        <v>30.32</v>
      </c>
      <c r="Y12" s="39">
        <v>30.42</v>
      </c>
      <c r="Z12" s="39">
        <v>29.93</v>
      </c>
      <c r="AA12" s="352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2">
        <v>30.91</v>
      </c>
      <c r="Y13" s="39">
        <v>31.31</v>
      </c>
      <c r="Z13" s="39">
        <v>30.28</v>
      </c>
      <c r="AA13" s="352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31.09</v>
      </c>
      <c r="Y14" s="39">
        <v>31.38</v>
      </c>
      <c r="Z14" s="39">
        <v>30.62</v>
      </c>
      <c r="AA14" s="352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2">
        <v>31.19</v>
      </c>
      <c r="Y15" s="39">
        <v>31.23</v>
      </c>
      <c r="Z15" s="39">
        <v>30.79</v>
      </c>
      <c r="AA15" s="352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2">
        <v>31.31</v>
      </c>
      <c r="Y16" s="39">
        <v>31.51</v>
      </c>
      <c r="Z16" s="39">
        <v>31.02</v>
      </c>
      <c r="AA16" s="352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2">
        <v>30.8</v>
      </c>
      <c r="Y17" s="39">
        <v>31.58</v>
      </c>
      <c r="Z17" s="39">
        <v>30.8</v>
      </c>
      <c r="AA17" s="352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31</v>
      </c>
      <c r="Y18" s="39">
        <v>31.02</v>
      </c>
      <c r="Z18" s="39">
        <v>30.66</v>
      </c>
      <c r="AA18" s="352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2">
        <v>30.56</v>
      </c>
      <c r="Y19" s="39">
        <v>31.14</v>
      </c>
      <c r="Z19" s="39">
        <v>30.56</v>
      </c>
      <c r="AA19" s="352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30.96</v>
      </c>
      <c r="Y20" s="39">
        <v>30.98</v>
      </c>
      <c r="Z20" s="39">
        <v>30.6</v>
      </c>
      <c r="AA20" s="352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2">
        <v>30.79</v>
      </c>
      <c r="Y21" s="39">
        <v>30.9</v>
      </c>
      <c r="Z21" s="39">
        <v>30.61</v>
      </c>
      <c r="AA21" s="352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2">
        <v>30.76</v>
      </c>
      <c r="Y22" s="39">
        <v>30.88</v>
      </c>
      <c r="Z22" s="39">
        <v>30.63</v>
      </c>
      <c r="AA22" s="352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2">
        <v>31.07</v>
      </c>
      <c r="Y23" s="39">
        <v>31.09</v>
      </c>
      <c r="Z23" s="39">
        <v>30.67</v>
      </c>
      <c r="AA23" s="352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2">
        <v>31.01</v>
      </c>
      <c r="Y24" s="39">
        <v>31.24</v>
      </c>
      <c r="Z24" s="39">
        <v>30.93</v>
      </c>
      <c r="AA24" s="352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2">
        <v>31.1</v>
      </c>
      <c r="Y25" s="39">
        <v>31.36</v>
      </c>
      <c r="Z25" s="39">
        <v>31.03</v>
      </c>
      <c r="AA25" s="352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2">
        <v>31.54</v>
      </c>
      <c r="Y26" s="39">
        <v>31.54</v>
      </c>
      <c r="Z26" s="39">
        <v>31.24</v>
      </c>
      <c r="AA26" s="352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2">
        <v>31.49</v>
      </c>
      <c r="Y27" s="39">
        <v>31.77</v>
      </c>
      <c r="Z27" s="39">
        <v>31.3</v>
      </c>
      <c r="AA27" s="352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2">
        <v>31.82</v>
      </c>
      <c r="Y28" s="39">
        <v>32.03</v>
      </c>
      <c r="Z28" s="39">
        <v>31.29</v>
      </c>
      <c r="AA28" s="352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2">
        <v>31.32</v>
      </c>
      <c r="Y29" s="39">
        <v>32.07</v>
      </c>
      <c r="Z29" s="39">
        <v>31.18</v>
      </c>
      <c r="AA29" s="352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2">
        <v>31.28</v>
      </c>
      <c r="Y30" s="39">
        <v>31.45</v>
      </c>
      <c r="Z30" s="39">
        <v>31.25</v>
      </c>
      <c r="AA30" s="352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2">
        <v>31.69</v>
      </c>
      <c r="Y31" s="39">
        <v>31.82</v>
      </c>
      <c r="Z31" s="39">
        <v>31.39</v>
      </c>
      <c r="AA31" s="352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2">
        <v>31.5</v>
      </c>
      <c r="Y32" s="39">
        <v>31.98</v>
      </c>
      <c r="Z32" s="39">
        <v>31.5</v>
      </c>
      <c r="AA32" s="352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2">
        <v>31.27</v>
      </c>
      <c r="Y33" s="39">
        <v>31.74</v>
      </c>
      <c r="Z33" s="39">
        <v>31.08</v>
      </c>
      <c r="AA33" s="352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31.19</v>
      </c>
      <c r="Y34" s="39">
        <v>31.41</v>
      </c>
      <c r="Z34" s="39">
        <v>30.97</v>
      </c>
      <c r="AA34" s="352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31.56</v>
      </c>
      <c r="Y35" s="39">
        <v>31.61</v>
      </c>
      <c r="Z35" s="39">
        <v>31.06</v>
      </c>
      <c r="AA35" s="352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2">
        <v>31.84</v>
      </c>
      <c r="Y36" s="39">
        <v>31.92</v>
      </c>
      <c r="Z36" s="39">
        <v>31.42</v>
      </c>
      <c r="AA36" s="352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2">
        <v>31.56</v>
      </c>
      <c r="Y37" s="39">
        <v>31.98</v>
      </c>
      <c r="Z37" s="39">
        <v>31.56</v>
      </c>
      <c r="AA37" s="352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31.4</v>
      </c>
      <c r="Y38" s="39">
        <v>31.59</v>
      </c>
      <c r="Z38" s="39">
        <v>31.2</v>
      </c>
      <c r="AA38" s="352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2">
        <v>31.47</v>
      </c>
      <c r="Y39" s="39">
        <v>31.64</v>
      </c>
      <c r="Z39" s="39">
        <v>31.04</v>
      </c>
      <c r="AA39" s="352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2">
        <v>31.14</v>
      </c>
      <c r="Y40" s="39">
        <v>31.56</v>
      </c>
      <c r="Z40" s="39">
        <v>31.02</v>
      </c>
      <c r="AA40" s="352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2">
        <v>30.82</v>
      </c>
      <c r="Y41" s="39">
        <v>31.19</v>
      </c>
      <c r="Z41" s="39">
        <v>30.72</v>
      </c>
      <c r="AA41" s="352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2">
        <v>31.54</v>
      </c>
      <c r="Y42" s="39">
        <v>31.9</v>
      </c>
      <c r="Z42" s="39">
        <v>29.15</v>
      </c>
      <c r="AA42" s="352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531</v>
      </c>
      <c r="W43" s="92">
        <v>42772</v>
      </c>
      <c r="X43" s="352">
        <v>31.72</v>
      </c>
      <c r="Y43" s="39">
        <v>32.26</v>
      </c>
      <c r="Z43" s="39">
        <v>31.58</v>
      </c>
      <c r="AA43" s="352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2">
        <v>31.43</v>
      </c>
      <c r="Y44" s="39">
        <v>32.03</v>
      </c>
      <c r="Z44" s="39">
        <v>31.37</v>
      </c>
      <c r="AA44" s="352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2">
        <v>31.7</v>
      </c>
      <c r="Y45" s="39">
        <v>31.83</v>
      </c>
      <c r="Z45" s="39">
        <v>31.37</v>
      </c>
      <c r="AA45" s="352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426</v>
      </c>
      <c r="W46" s="92">
        <v>42767</v>
      </c>
      <c r="X46" s="352">
        <v>31.89</v>
      </c>
      <c r="Y46" s="39">
        <v>32.17</v>
      </c>
      <c r="Z46" s="39">
        <v>31.47</v>
      </c>
      <c r="AA46" s="352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2">
        <v>31.04</v>
      </c>
      <c r="Y47" s="39">
        <v>31.87</v>
      </c>
      <c r="Z47" s="39">
        <v>30.97</v>
      </c>
      <c r="AA47" s="352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579</v>
      </c>
      <c r="W48" s="92">
        <v>42765</v>
      </c>
      <c r="X48" s="352">
        <v>31.05</v>
      </c>
      <c r="Y48" s="39">
        <v>31.15</v>
      </c>
      <c r="Z48" s="39">
        <v>30.82</v>
      </c>
      <c r="AA48" s="352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331</v>
      </c>
      <c r="W49" s="92">
        <v>42762</v>
      </c>
      <c r="X49" s="352">
        <v>31.63</v>
      </c>
      <c r="Y49" s="39">
        <v>31.63</v>
      </c>
      <c r="Z49" s="39">
        <v>31.03</v>
      </c>
      <c r="AA49" s="352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2">
        <v>31.42</v>
      </c>
      <c r="Y50" s="39">
        <v>31.8</v>
      </c>
      <c r="Z50" s="39">
        <v>31.27</v>
      </c>
      <c r="AA50" s="352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2">
        <v>31.65</v>
      </c>
      <c r="Y51" s="39">
        <v>31.83</v>
      </c>
      <c r="Z51" s="39">
        <v>31.38</v>
      </c>
      <c r="AA51" s="352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580</v>
      </c>
      <c r="W52" s="92">
        <v>42759</v>
      </c>
      <c r="X52" s="352">
        <v>31.76</v>
      </c>
      <c r="Y52" s="39">
        <v>31.84</v>
      </c>
      <c r="Z52" s="39">
        <v>31.32</v>
      </c>
      <c r="AA52" s="352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2">
        <v>32.340000000000003</v>
      </c>
      <c r="Y53" s="39">
        <v>32.340000000000003</v>
      </c>
      <c r="Z53" s="39">
        <v>31.79</v>
      </c>
      <c r="AA53" s="352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2">
        <v>32.5</v>
      </c>
      <c r="Y54" s="39">
        <v>32.56</v>
      </c>
      <c r="Z54" s="39">
        <v>32.29</v>
      </c>
      <c r="AA54" s="352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2">
        <v>32.69</v>
      </c>
      <c r="Y55" s="39">
        <v>32.79</v>
      </c>
      <c r="Z55" s="39">
        <v>32.33</v>
      </c>
      <c r="AA55" s="352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2">
        <v>32.75</v>
      </c>
      <c r="Y56" s="39">
        <v>32.86</v>
      </c>
      <c r="Z56" s="39">
        <v>32.4</v>
      </c>
      <c r="AA56" s="352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2">
        <v>32.46</v>
      </c>
      <c r="Y57" s="39">
        <v>32.67</v>
      </c>
      <c r="Z57" s="39">
        <v>32.159999999999997</v>
      </c>
      <c r="AA57" s="352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2">
        <v>32.15</v>
      </c>
      <c r="Y58" s="39">
        <v>32.54</v>
      </c>
      <c r="Z58" s="39">
        <v>32.04</v>
      </c>
      <c r="AA58" s="352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2">
        <v>31.7</v>
      </c>
      <c r="Y59" s="39">
        <v>32.15</v>
      </c>
      <c r="Z59" s="39">
        <v>31.61</v>
      </c>
      <c r="AA59" s="352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2">
        <v>32.090000000000003</v>
      </c>
      <c r="Y60" s="39">
        <v>32.24</v>
      </c>
      <c r="Z60" s="39">
        <v>31.69</v>
      </c>
      <c r="AA60" s="352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2">
        <v>31.82</v>
      </c>
      <c r="Y61" s="39">
        <v>32.340000000000003</v>
      </c>
      <c r="Z61" s="39">
        <v>31.66</v>
      </c>
      <c r="AA61" s="352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2">
        <v>31.86</v>
      </c>
      <c r="Y62" s="39">
        <v>31.97</v>
      </c>
      <c r="Z62" s="39">
        <v>31.62</v>
      </c>
      <c r="AA62" s="352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2">
        <v>31.12</v>
      </c>
      <c r="Y63" s="39">
        <v>31.82</v>
      </c>
      <c r="Z63" s="39">
        <v>31</v>
      </c>
      <c r="AA63" s="352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2">
        <v>31.12</v>
      </c>
      <c r="Y64" s="39">
        <v>31.55</v>
      </c>
      <c r="Z64" s="39">
        <v>31.03</v>
      </c>
      <c r="AA64" s="352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2">
        <v>31.05</v>
      </c>
      <c r="Y65" s="39">
        <v>31.65</v>
      </c>
      <c r="Z65" s="39">
        <v>30.96</v>
      </c>
      <c r="AA65" s="352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2">
        <v>30.41</v>
      </c>
      <c r="Y66" s="39">
        <v>31.08</v>
      </c>
      <c r="Z66" s="39">
        <v>30.26</v>
      </c>
      <c r="AA66" s="352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2">
        <v>30.42</v>
      </c>
      <c r="Y67" s="39">
        <v>30.48</v>
      </c>
      <c r="Z67" s="39">
        <v>30.21</v>
      </c>
      <c r="AA67" s="352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69" priority="31">
      <formula>F29&gt;0</formula>
    </cfRule>
    <cfRule type="expression" dxfId="2268" priority="32">
      <formula>F29&lt;0</formula>
    </cfRule>
  </conditionalFormatting>
  <conditionalFormatting sqref="F29 F31:F35">
    <cfRule type="expression" dxfId="2267" priority="33">
      <formula>F29&gt;0</formula>
    </cfRule>
    <cfRule type="expression" dxfId="2266" priority="34">
      <formula>F29&lt;0</formula>
    </cfRule>
  </conditionalFormatting>
  <conditionalFormatting sqref="H29 H31:H35">
    <cfRule type="expression" dxfId="2265" priority="29">
      <formula>H29&gt;0</formula>
    </cfRule>
    <cfRule type="expression" dxfId="2264" priority="30">
      <formula>H29&lt;0</formula>
    </cfRule>
  </conditionalFormatting>
  <conditionalFormatting sqref="F21:F28">
    <cfRule type="expression" dxfId="2263" priority="27">
      <formula>F21&gt;0</formula>
    </cfRule>
    <cfRule type="expression" dxfId="2262" priority="28">
      <formula>F21&lt;0</formula>
    </cfRule>
  </conditionalFormatting>
  <conditionalFormatting sqref="H21:H28">
    <cfRule type="expression" dxfId="2261" priority="25">
      <formula>H21&gt;0</formula>
    </cfRule>
    <cfRule type="expression" dxfId="2260" priority="26">
      <formula>H21&lt;0</formula>
    </cfRule>
  </conditionalFormatting>
  <conditionalFormatting sqref="Q8">
    <cfRule type="expression" dxfId="2259" priority="21">
      <formula>Q8&gt;0</formula>
    </cfRule>
    <cfRule type="expression" dxfId="2258" priority="22">
      <formula>Q8&lt;0</formula>
    </cfRule>
  </conditionalFormatting>
  <conditionalFormatting sqref="Q7">
    <cfRule type="expression" dxfId="2257" priority="23">
      <formula>Q7&gt;0</formula>
    </cfRule>
    <cfRule type="expression" dxfId="2256" priority="24">
      <formula>Q7&lt;0</formula>
    </cfRule>
  </conditionalFormatting>
  <conditionalFormatting sqref="F30">
    <cfRule type="expression" dxfId="2255" priority="19">
      <formula>F30&gt;0</formula>
    </cfRule>
    <cfRule type="expression" dxfId="2254" priority="20">
      <formula>F30&lt;0</formula>
    </cfRule>
  </conditionalFormatting>
  <conditionalFormatting sqref="H30">
    <cfRule type="expression" dxfId="2253" priority="17">
      <formula>H30&gt;0</formula>
    </cfRule>
    <cfRule type="expression" dxfId="2252" priority="18">
      <formula>H30&lt;0</formula>
    </cfRule>
  </conditionalFormatting>
  <conditionalFormatting sqref="F68 F70:F74">
    <cfRule type="expression" dxfId="2251" priority="13">
      <formula>F68&gt;0</formula>
    </cfRule>
    <cfRule type="expression" dxfId="2250" priority="14">
      <formula>F68&lt;0</formula>
    </cfRule>
  </conditionalFormatting>
  <conditionalFormatting sqref="F68 F70:F74">
    <cfRule type="expression" dxfId="2249" priority="15">
      <formula>F68&gt;0</formula>
    </cfRule>
    <cfRule type="expression" dxfId="2248" priority="16">
      <formula>F68&lt;0</formula>
    </cfRule>
  </conditionalFormatting>
  <conditionalFormatting sqref="H68 H70:H74">
    <cfRule type="expression" dxfId="2247" priority="11">
      <formula>H68&gt;0</formula>
    </cfRule>
    <cfRule type="expression" dxfId="2246" priority="12">
      <formula>H68&lt;0</formula>
    </cfRule>
  </conditionalFormatting>
  <conditionalFormatting sqref="F60:F67">
    <cfRule type="expression" dxfId="2245" priority="9">
      <formula>F60&gt;0</formula>
    </cfRule>
    <cfRule type="expression" dxfId="2244" priority="10">
      <formula>F60&lt;0</formula>
    </cfRule>
  </conditionalFormatting>
  <conditionalFormatting sqref="H60:H67">
    <cfRule type="expression" dxfId="2243" priority="7">
      <formula>H60&gt;0</formula>
    </cfRule>
    <cfRule type="expression" dxfId="2242" priority="8">
      <formula>H60&lt;0</formula>
    </cfRule>
  </conditionalFormatting>
  <conditionalFormatting sqref="F69">
    <cfRule type="expression" dxfId="2241" priority="5">
      <formula>F69&gt;0</formula>
    </cfRule>
    <cfRule type="expression" dxfId="2240" priority="6">
      <formula>F69&lt;0</formula>
    </cfRule>
  </conditionalFormatting>
  <conditionalFormatting sqref="H69">
    <cfRule type="expression" dxfId="2239" priority="3">
      <formula>H69&gt;0</formula>
    </cfRule>
    <cfRule type="expression" dxfId="2238" priority="4">
      <formula>H69&lt;0</formula>
    </cfRule>
  </conditionalFormatting>
  <conditionalFormatting sqref="Q10">
    <cfRule type="expression" dxfId="2237" priority="1">
      <formula>Q10&gt;0</formula>
    </cfRule>
    <cfRule type="expression" dxfId="223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78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7" t="s">
        <v>78</v>
      </c>
      <c r="P40" s="84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2" t="s">
        <v>194</v>
      </c>
      <c r="B63" s="443"/>
      <c r="C63" s="444">
        <f>SumByColor($A$19,C46:C61)</f>
        <v>0</v>
      </c>
      <c r="D63" s="444"/>
      <c r="E63" s="444"/>
      <c r="F63" s="445">
        <f>SumByColor($A$19,F46:F61)</f>
        <v>0</v>
      </c>
      <c r="G63" s="444"/>
      <c r="H63" s="444">
        <f>SumByColor($A$19,H46:H61)</f>
        <v>0</v>
      </c>
      <c r="I63" s="444"/>
      <c r="J63" s="444"/>
      <c r="K63" s="445">
        <f>SumByColor($A$19,K46:K61)</f>
        <v>0</v>
      </c>
      <c r="L63" s="444"/>
      <c r="M63" s="445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35" priority="11">
      <formula>F33&gt;0</formula>
    </cfRule>
    <cfRule type="expression" dxfId="2234" priority="12">
      <formula>F33&lt;0</formula>
    </cfRule>
  </conditionalFormatting>
  <conditionalFormatting sqref="Q7">
    <cfRule type="expression" dxfId="2233" priority="9">
      <formula>Q7&gt;0</formula>
    </cfRule>
    <cfRule type="expression" dxfId="2232" priority="10">
      <formula>Q7&lt;0</formula>
    </cfRule>
  </conditionalFormatting>
  <conditionalFormatting sqref="Q8">
    <cfRule type="expression" dxfId="2231" priority="7">
      <formula>Q8&gt;0</formula>
    </cfRule>
    <cfRule type="expression" dxfId="2230" priority="8">
      <formula>Q8&lt;0</formula>
    </cfRule>
  </conditionalFormatting>
  <conditionalFormatting sqref="F25:F32">
    <cfRule type="expression" dxfId="2229" priority="5">
      <formula>F25&gt;0</formula>
    </cfRule>
    <cfRule type="expression" dxfId="2228" priority="6">
      <formula>F25&lt;0</formula>
    </cfRule>
  </conditionalFormatting>
  <conditionalFormatting sqref="H25:H32">
    <cfRule type="expression" dxfId="2227" priority="3">
      <formula>H25&gt;0</formula>
    </cfRule>
    <cfRule type="expression" dxfId="2226" priority="4">
      <formula>H25&lt;0</formula>
    </cfRule>
  </conditionalFormatting>
  <conditionalFormatting sqref="Q10">
    <cfRule type="expression" dxfId="2225" priority="1">
      <formula>Q10&gt;0</formula>
    </cfRule>
    <cfRule type="expression" dxfId="222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7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7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9">
        <f>IF(Q2=0, Q4, (F18-K18-M18)/Q2)</f>
        <v>16.699633333333331</v>
      </c>
      <c r="T3" s="571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7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8">
        <v>10.889900000000001</v>
      </c>
      <c r="R4" s="478">
        <v>4.5999999999999999E-3</v>
      </c>
      <c r="T4" s="158" t="s">
        <v>482</v>
      </c>
      <c r="U4" s="1"/>
      <c r="X4" s="134"/>
    </row>
    <row r="5" spans="1:24" x14ac:dyDescent="0.25">
      <c r="A5" s="1"/>
      <c r="B5" s="437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7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3266.9700000000003</v>
      </c>
      <c r="T5" t="s">
        <v>483</v>
      </c>
      <c r="X5" s="134"/>
    </row>
    <row r="6" spans="1:24" x14ac:dyDescent="0.25">
      <c r="B6" s="437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7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7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7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-459.50000000000455</v>
      </c>
      <c r="R7">
        <v>300</v>
      </c>
      <c r="T7" s="1">
        <v>43453</v>
      </c>
      <c r="U7" t="s">
        <v>857</v>
      </c>
      <c r="X7" s="134"/>
    </row>
    <row r="8" spans="1:24" x14ac:dyDescent="0.25">
      <c r="B8" s="437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7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-1742.9199999999992</v>
      </c>
      <c r="X8" s="134"/>
    </row>
    <row r="9" spans="1:24" x14ac:dyDescent="0.25">
      <c r="B9" s="437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7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-0.34789586198499356</v>
      </c>
      <c r="T9" s="29">
        <v>43103</v>
      </c>
      <c r="U9" t="s">
        <v>848</v>
      </c>
      <c r="X9" s="134"/>
    </row>
    <row r="10" spans="1:24" x14ac:dyDescent="0.25">
      <c r="A10" t="s">
        <v>799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849</v>
      </c>
      <c r="X10" s="134"/>
    </row>
    <row r="11" spans="1:24" x14ac:dyDescent="0.25">
      <c r="B11" s="437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850</v>
      </c>
      <c r="X11" s="134"/>
    </row>
    <row r="12" spans="1:24" x14ac:dyDescent="0.25">
      <c r="B12" s="437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37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997</v>
      </c>
      <c r="Q13">
        <f>Q4/0.32</f>
        <v>34.0309375</v>
      </c>
      <c r="U13" t="s">
        <v>858</v>
      </c>
      <c r="X13" s="134"/>
    </row>
    <row r="14" spans="1:24" x14ac:dyDescent="0.25">
      <c r="B14" s="437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7" t="s">
        <v>78</v>
      </c>
      <c r="P15" s="847"/>
      <c r="T15" s="1">
        <v>43114</v>
      </c>
      <c r="U15" t="s">
        <v>890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12.523384999999999</v>
      </c>
      <c r="U16" s="478" t="s">
        <v>891</v>
      </c>
      <c r="X16" s="134"/>
    </row>
    <row r="17" spans="1:24" x14ac:dyDescent="0.25">
      <c r="O17" s="81">
        <v>1.1399999999999999</v>
      </c>
      <c r="P17" s="81">
        <f t="shared" si="4"/>
        <v>12.414486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12.305586999999999</v>
      </c>
      <c r="T18" s="1">
        <v>43140</v>
      </c>
      <c r="U18" t="s">
        <v>947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12.196688000000002</v>
      </c>
      <c r="X19" s="134"/>
    </row>
    <row r="20" spans="1:24" x14ac:dyDescent="0.25">
      <c r="O20" s="81">
        <v>1.1100000000000001</v>
      </c>
      <c r="P20" s="81">
        <f t="shared" si="5"/>
        <v>12.087789000000003</v>
      </c>
      <c r="T20" s="1">
        <v>43152</v>
      </c>
      <c r="U20" t="s">
        <v>951</v>
      </c>
      <c r="X20" s="134"/>
    </row>
    <row r="21" spans="1:24" x14ac:dyDescent="0.25">
      <c r="O21" s="81">
        <v>1.1000000000000001</v>
      </c>
      <c r="P21" s="81">
        <f t="shared" si="5"/>
        <v>11.978890000000002</v>
      </c>
      <c r="X21" s="134"/>
    </row>
    <row r="22" spans="1:24" x14ac:dyDescent="0.25">
      <c r="O22" s="81">
        <v>1.0900000000000001</v>
      </c>
      <c r="P22" s="81">
        <f t="shared" si="5"/>
        <v>11.869991000000002</v>
      </c>
      <c r="T22" s="1">
        <v>43160</v>
      </c>
      <c r="U22" t="s">
        <v>897</v>
      </c>
      <c r="X22" s="134"/>
    </row>
    <row r="23" spans="1:24" x14ac:dyDescent="0.25">
      <c r="O23" s="81">
        <v>1.08</v>
      </c>
      <c r="P23" s="81">
        <f t="shared" si="5"/>
        <v>11.761092000000001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O24" s="81">
        <v>1.07</v>
      </c>
      <c r="P24" s="81">
        <f t="shared" ref="P24:P26" si="6">O24*$Q$4</f>
        <v>11.652193000000002</v>
      </c>
      <c r="T24" s="1">
        <v>43191</v>
      </c>
      <c r="U24" t="s">
        <v>1018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11.543294000000001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11.434395000000002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11.325496000000001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11.216597000000002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11.107698000000001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10.998799000000002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10.889900000000001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10.781001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10.672102000000001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10.563203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10.454304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10.345405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10.236506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2" t="s">
        <v>930</v>
      </c>
      <c r="J38" s="39">
        <v>880</v>
      </c>
      <c r="K38" s="39"/>
      <c r="L38" s="4"/>
      <c r="O38" s="81">
        <v>0.93</v>
      </c>
      <c r="P38" s="81">
        <f t="shared" si="19"/>
        <v>10.127607000000001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10.018708000000002</v>
      </c>
      <c r="X39" s="134"/>
    </row>
    <row r="40" spans="1:24" x14ac:dyDescent="0.25">
      <c r="A40" s="4">
        <v>0</v>
      </c>
      <c r="B40" s="187">
        <v>43108</v>
      </c>
      <c r="C40" s="556">
        <v>600</v>
      </c>
      <c r="D40" s="58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9.909809000000001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9.8009100000000018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2" t="s">
        <v>931</v>
      </c>
      <c r="J42" s="39">
        <v>736</v>
      </c>
      <c r="K42" s="39"/>
      <c r="L42" s="4"/>
      <c r="O42" s="81">
        <v>0.89</v>
      </c>
      <c r="P42" s="81">
        <f t="shared" ref="P42:P44" si="26">O42*$Q$4</f>
        <v>9.6920110000000008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9.5831120000000016</v>
      </c>
      <c r="Q43" s="2"/>
      <c r="X43" s="134"/>
    </row>
    <row r="44" spans="1:24" x14ac:dyDescent="0.25">
      <c r="A44" s="4"/>
      <c r="B44" s="187">
        <v>43132</v>
      </c>
      <c r="C44" s="556">
        <v>600</v>
      </c>
      <c r="D44" s="58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9.4742130000000007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1" t="s">
        <v>481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5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4" t="s">
        <v>1</v>
      </c>
      <c r="B59" s="514" t="s">
        <v>2</v>
      </c>
      <c r="C59" s="514" t="s">
        <v>4</v>
      </c>
      <c r="D59" s="515" t="s">
        <v>5</v>
      </c>
      <c r="E59" s="515" t="s">
        <v>94</v>
      </c>
      <c r="F59" s="515" t="s">
        <v>60</v>
      </c>
      <c r="G59" s="514" t="s">
        <v>3</v>
      </c>
      <c r="H59" s="514" t="s">
        <v>6</v>
      </c>
      <c r="I59" s="515" t="s">
        <v>7</v>
      </c>
      <c r="J59" s="515" t="s">
        <v>95</v>
      </c>
      <c r="K59" s="515" t="s">
        <v>61</v>
      </c>
      <c r="L59" s="514" t="s">
        <v>37</v>
      </c>
      <c r="M59" s="514" t="s">
        <v>38</v>
      </c>
      <c r="O59" s="81"/>
      <c r="P59" s="81"/>
      <c r="X59" s="134"/>
    </row>
    <row r="60" spans="1:24" x14ac:dyDescent="0.25">
      <c r="A60" s="516" t="s">
        <v>283</v>
      </c>
      <c r="B60" s="499">
        <v>42639</v>
      </c>
      <c r="C60" s="500">
        <v>80</v>
      </c>
      <c r="D60" s="502">
        <v>26.38</v>
      </c>
      <c r="E60" s="502">
        <v>0</v>
      </c>
      <c r="F60" s="502">
        <f>C60*D60+E60</f>
        <v>2110.4</v>
      </c>
      <c r="G60" s="499">
        <v>42677</v>
      </c>
      <c r="H60" s="517">
        <v>100</v>
      </c>
      <c r="I60" s="502">
        <v>26.49</v>
      </c>
      <c r="J60" s="502">
        <v>0.56000000000000005</v>
      </c>
      <c r="K60" s="502">
        <f>I60*H60-J60</f>
        <v>2648.44</v>
      </c>
      <c r="L60" s="499"/>
      <c r="M60" s="502"/>
      <c r="O60" s="81"/>
      <c r="P60" s="81"/>
      <c r="X60" s="134"/>
    </row>
    <row r="61" spans="1:24" x14ac:dyDescent="0.25">
      <c r="A61" s="518" t="s">
        <v>71</v>
      </c>
      <c r="B61" s="499">
        <v>42639</v>
      </c>
      <c r="C61" s="500">
        <v>20</v>
      </c>
      <c r="D61" s="502">
        <v>25.48</v>
      </c>
      <c r="E61" s="502">
        <v>0</v>
      </c>
      <c r="F61" s="502">
        <f>C61*D61+E61</f>
        <v>509.6</v>
      </c>
      <c r="G61" s="499">
        <v>42678</v>
      </c>
      <c r="H61" s="517">
        <v>20</v>
      </c>
      <c r="I61" s="502">
        <v>27.31</v>
      </c>
      <c r="J61" s="502">
        <v>0.01</v>
      </c>
      <c r="K61" s="502">
        <f>I61*H61-J61</f>
        <v>546.18999999999994</v>
      </c>
      <c r="L61" s="500"/>
      <c r="M61" s="500"/>
      <c r="X61" s="134"/>
    </row>
    <row r="62" spans="1:24" x14ac:dyDescent="0.25">
      <c r="A62" s="500"/>
      <c r="B62" s="499">
        <v>42639</v>
      </c>
      <c r="C62" s="500">
        <v>20</v>
      </c>
      <c r="D62" s="502">
        <v>25.48</v>
      </c>
      <c r="E62" s="502">
        <v>0</v>
      </c>
      <c r="F62" s="502">
        <f>C62*D62+E62</f>
        <v>509.6</v>
      </c>
      <c r="G62" s="499">
        <v>42681</v>
      </c>
      <c r="H62" s="517">
        <v>80</v>
      </c>
      <c r="I62" s="502">
        <v>28.17</v>
      </c>
      <c r="J62" s="502">
        <v>0.05</v>
      </c>
      <c r="K62" s="502">
        <f>I62*H62-J62</f>
        <v>2253.5500000000002</v>
      </c>
      <c r="L62" s="500"/>
      <c r="M62" s="500"/>
      <c r="X62" s="134"/>
    </row>
    <row r="63" spans="1:24" x14ac:dyDescent="0.25">
      <c r="A63" s="500"/>
      <c r="B63" s="499">
        <v>42649</v>
      </c>
      <c r="C63" s="500">
        <v>80</v>
      </c>
      <c r="D63" s="502">
        <v>24.67</v>
      </c>
      <c r="E63" s="502">
        <v>0</v>
      </c>
      <c r="F63" s="502">
        <f>C63*D63+E63</f>
        <v>1973.6000000000001</v>
      </c>
      <c r="G63" s="500"/>
      <c r="H63" s="517"/>
      <c r="I63" s="502"/>
      <c r="J63" s="502"/>
      <c r="K63" s="502"/>
      <c r="L63" s="500"/>
      <c r="M63" s="500"/>
      <c r="X63" s="134"/>
    </row>
    <row r="64" spans="1:24" x14ac:dyDescent="0.25">
      <c r="A64" s="500"/>
      <c r="B64" s="437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7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0"/>
      <c r="B65" s="437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7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0"/>
      <c r="B66" s="437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7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0"/>
      <c r="B67" s="437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7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0"/>
      <c r="B68" s="437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7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0"/>
      <c r="B69" s="437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7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0"/>
      <c r="B70" s="437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7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0"/>
      <c r="B71" s="437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7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0"/>
      <c r="B72" s="437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7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0"/>
      <c r="B73" s="437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0"/>
      <c r="B74" s="437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0"/>
      <c r="H75" s="70"/>
    </row>
    <row r="76" spans="1:24" x14ac:dyDescent="0.25">
      <c r="A76" s="519" t="s">
        <v>81</v>
      </c>
      <c r="B76" s="520"/>
      <c r="C76" s="520">
        <f>SUM(C60:C75)</f>
        <v>1400</v>
      </c>
      <c r="D76" s="521"/>
      <c r="E76" s="521"/>
      <c r="F76" s="521">
        <f>SUM(F60:F75)</f>
        <v>29502.2</v>
      </c>
      <c r="G76" s="520"/>
      <c r="H76" s="542">
        <f>SUM(H60:H75)</f>
        <v>1400</v>
      </c>
      <c r="I76" s="521"/>
      <c r="J76" s="521"/>
      <c r="K76" s="521">
        <f>SUM(K60:K75)</f>
        <v>30785.619999999995</v>
      </c>
      <c r="L76" s="520"/>
      <c r="M76" s="521">
        <f>SUM(M60:M68)</f>
        <v>0</v>
      </c>
    </row>
    <row r="77" spans="1:24" ht="15.75" thickBot="1" x14ac:dyDescent="0.3">
      <c r="A77" s="522" t="s">
        <v>194</v>
      </c>
      <c r="B77" s="523"/>
      <c r="C77" s="524">
        <f>SumByColor($A$19,C60:C75)</f>
        <v>1200</v>
      </c>
      <c r="D77" s="524"/>
      <c r="E77" s="524"/>
      <c r="F77" s="525">
        <f>SumByColor($A$19,F60:F75)</f>
        <v>24399</v>
      </c>
      <c r="G77" s="524"/>
      <c r="H77" s="524">
        <f>SumByColor($A$19,H60:H75)</f>
        <v>1200</v>
      </c>
      <c r="I77" s="524"/>
      <c r="J77" s="524"/>
      <c r="K77" s="525">
        <f>SumByColor($A$19,K60:K75)</f>
        <v>25337</v>
      </c>
      <c r="L77" s="524"/>
      <c r="M77" s="525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4">
        <v>42639</v>
      </c>
      <c r="C83" s="365">
        <v>80</v>
      </c>
      <c r="D83" s="366">
        <v>26.38</v>
      </c>
      <c r="E83" s="366">
        <v>25.53</v>
      </c>
      <c r="F83" s="366">
        <f t="shared" ref="F83:F92" si="41">C83*(E83-D83)</f>
        <v>-67.999999999999829</v>
      </c>
      <c r="G83" s="366">
        <f t="shared" ref="G83:G92" si="42">D83*C83</f>
        <v>2110.4</v>
      </c>
      <c r="H83" s="367">
        <f t="shared" ref="H83:H92" si="43">(E83-D83)/D83</f>
        <v>-3.2221379833206894E-2</v>
      </c>
      <c r="I83" s="366"/>
    </row>
    <row r="84" spans="2:11" x14ac:dyDescent="0.25">
      <c r="B84" s="364">
        <v>42639</v>
      </c>
      <c r="C84" s="365">
        <v>120</v>
      </c>
      <c r="D84" s="366">
        <v>26.08</v>
      </c>
      <c r="E84" s="366">
        <v>25.53</v>
      </c>
      <c r="F84" s="366">
        <f t="shared" si="41"/>
        <v>-65.999999999999659</v>
      </c>
      <c r="G84" s="366">
        <f t="shared" si="42"/>
        <v>3129.6</v>
      </c>
      <c r="H84" s="367">
        <f t="shared" si="43"/>
        <v>-2.1088957055214616E-2</v>
      </c>
      <c r="I84" s="366"/>
    </row>
    <row r="85" spans="2:11" x14ac:dyDescent="0.25">
      <c r="B85" s="364">
        <v>42641</v>
      </c>
      <c r="C85" s="365">
        <v>120</v>
      </c>
      <c r="D85" s="366">
        <v>26.08</v>
      </c>
      <c r="E85" s="366">
        <v>26</v>
      </c>
      <c r="F85" s="366">
        <f t="shared" si="41"/>
        <v>-9.5999999999997954</v>
      </c>
      <c r="G85" s="366">
        <f t="shared" si="42"/>
        <v>3129.6</v>
      </c>
      <c r="H85" s="367">
        <f t="shared" si="43"/>
        <v>-3.0674846625766221E-3</v>
      </c>
      <c r="I85" s="366"/>
    </row>
    <row r="86" spans="2:11" x14ac:dyDescent="0.25">
      <c r="B86" s="364">
        <v>42643</v>
      </c>
      <c r="C86" s="365">
        <v>120</v>
      </c>
      <c r="D86" s="366">
        <v>26.08</v>
      </c>
      <c r="E86" s="366">
        <v>26.59</v>
      </c>
      <c r="F86" s="366">
        <f t="shared" si="41"/>
        <v>61.200000000000188</v>
      </c>
      <c r="G86" s="366">
        <f t="shared" si="42"/>
        <v>3129.6</v>
      </c>
      <c r="H86" s="367">
        <f t="shared" si="43"/>
        <v>1.9555214723926441E-2</v>
      </c>
      <c r="I86" s="366"/>
    </row>
    <row r="87" spans="2:11" x14ac:dyDescent="0.25">
      <c r="B87" s="364">
        <v>42649</v>
      </c>
      <c r="C87" s="365">
        <v>200</v>
      </c>
      <c r="D87" s="366">
        <v>25.515999999999998</v>
      </c>
      <c r="E87" s="366">
        <v>25.21</v>
      </c>
      <c r="F87" s="366">
        <f t="shared" si="41"/>
        <v>-61.199999999999477</v>
      </c>
      <c r="G87" s="366">
        <f t="shared" si="42"/>
        <v>5103.2</v>
      </c>
      <c r="H87" s="367">
        <f t="shared" si="43"/>
        <v>-1.1992475309609556E-2</v>
      </c>
      <c r="I87" s="366"/>
    </row>
    <row r="88" spans="2:11" x14ac:dyDescent="0.25">
      <c r="B88" s="364">
        <v>42650</v>
      </c>
      <c r="C88" s="365">
        <v>200</v>
      </c>
      <c r="D88" s="366">
        <v>25.515999999999998</v>
      </c>
      <c r="E88" s="366">
        <v>25.33</v>
      </c>
      <c r="F88" s="366">
        <f t="shared" si="41"/>
        <v>-37.199999999999989</v>
      </c>
      <c r="G88" s="366">
        <f t="shared" si="42"/>
        <v>5103.2</v>
      </c>
      <c r="H88" s="367">
        <f t="shared" si="43"/>
        <v>-7.2895438156450835E-3</v>
      </c>
      <c r="I88" s="366"/>
    </row>
    <row r="89" spans="2:11" x14ac:dyDescent="0.25">
      <c r="B89" s="364">
        <v>42661</v>
      </c>
      <c r="C89" s="365">
        <v>200</v>
      </c>
      <c r="D89" s="366">
        <v>25.515999999999998</v>
      </c>
      <c r="E89" s="366">
        <v>26.25</v>
      </c>
      <c r="F89" s="366">
        <f t="shared" si="41"/>
        <v>146.80000000000035</v>
      </c>
      <c r="G89" s="366">
        <f t="shared" si="42"/>
        <v>5103.2</v>
      </c>
      <c r="H89" s="367">
        <f t="shared" si="43"/>
        <v>2.876626430475003E-2</v>
      </c>
      <c r="I89" s="366"/>
    </row>
    <row r="90" spans="2:11" x14ac:dyDescent="0.25">
      <c r="B90" s="364">
        <v>42674</v>
      </c>
      <c r="C90" s="365">
        <v>200</v>
      </c>
      <c r="D90" s="366">
        <v>25.515999999999998</v>
      </c>
      <c r="E90" s="366">
        <v>26.42</v>
      </c>
      <c r="F90" s="366">
        <f t="shared" si="41"/>
        <v>180.80000000000069</v>
      </c>
      <c r="G90" s="366">
        <f t="shared" si="42"/>
        <v>5103.2</v>
      </c>
      <c r="H90" s="367">
        <f t="shared" si="43"/>
        <v>3.5428750587866577E-2</v>
      </c>
      <c r="I90" s="366"/>
    </row>
    <row r="91" spans="2:11" x14ac:dyDescent="0.25">
      <c r="B91" s="364">
        <v>42677</v>
      </c>
      <c r="C91" s="365">
        <v>100</v>
      </c>
      <c r="D91" s="366">
        <v>24.547599999999999</v>
      </c>
      <c r="E91" s="366">
        <v>26.69</v>
      </c>
      <c r="F91" s="366">
        <f t="shared" si="41"/>
        <v>214.24000000000021</v>
      </c>
      <c r="G91" s="366">
        <f t="shared" si="42"/>
        <v>2454.7599999999998</v>
      </c>
      <c r="H91" s="367">
        <f t="shared" si="43"/>
        <v>8.7275334452247971E-2</v>
      </c>
      <c r="I91" s="446"/>
    </row>
    <row r="92" spans="2:11" x14ac:dyDescent="0.25">
      <c r="B92" s="364">
        <v>42678</v>
      </c>
      <c r="C92" s="365">
        <v>80</v>
      </c>
      <c r="D92" s="366">
        <v>23.857099999999999</v>
      </c>
      <c r="E92" s="366">
        <v>27.24</v>
      </c>
      <c r="F92" s="366">
        <f t="shared" si="41"/>
        <v>270.63199999999995</v>
      </c>
      <c r="G92" s="366">
        <f t="shared" si="42"/>
        <v>1908.568</v>
      </c>
      <c r="H92" s="367">
        <f t="shared" si="43"/>
        <v>0.1417984583205838</v>
      </c>
      <c r="I92" s="366"/>
    </row>
    <row r="93" spans="2:11" x14ac:dyDescent="0.25">
      <c r="B93" s="364">
        <v>42681</v>
      </c>
      <c r="C93" s="365">
        <v>0</v>
      </c>
      <c r="D93" s="366"/>
      <c r="E93" s="366"/>
      <c r="F93" s="366">
        <v>344.98</v>
      </c>
      <c r="G93" s="366"/>
      <c r="H93" s="367"/>
      <c r="I93" s="366"/>
    </row>
    <row r="94" spans="2:11" x14ac:dyDescent="0.25">
      <c r="B94" s="364"/>
      <c r="C94" s="365"/>
      <c r="D94" s="366"/>
      <c r="E94" s="366"/>
      <c r="F94" s="366"/>
      <c r="G94" s="366"/>
      <c r="H94" s="367"/>
      <c r="I94" s="366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679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7">
        <v>42754</v>
      </c>
      <c r="C103" s="556">
        <v>600</v>
      </c>
      <c r="D103" s="583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7">
        <v>42773</v>
      </c>
      <c r="C108" s="556">
        <v>600</v>
      </c>
      <c r="D108" s="583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23" priority="73">
      <formula>F32&gt;0</formula>
    </cfRule>
    <cfRule type="expression" dxfId="2222" priority="74">
      <formula>F32&lt;0</formula>
    </cfRule>
  </conditionalFormatting>
  <conditionalFormatting sqref="Q7">
    <cfRule type="expression" dxfId="2221" priority="71">
      <formula>Q7&gt;0</formula>
    </cfRule>
    <cfRule type="expression" dxfId="2220" priority="72">
      <formula>Q7&lt;0</formula>
    </cfRule>
  </conditionalFormatting>
  <conditionalFormatting sqref="Q8">
    <cfRule type="expression" dxfId="2219" priority="69">
      <formula>Q8&gt;0</formula>
    </cfRule>
    <cfRule type="expression" dxfId="221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17" priority="61">
      <formula>M58&gt;0</formula>
    </cfRule>
    <cfRule type="expression" dxfId="2216" priority="62">
      <formula>M58&lt;0</formula>
    </cfRule>
  </conditionalFormatting>
  <conditionalFormatting sqref="Q10">
    <cfRule type="expression" dxfId="2215" priority="59">
      <formula>Q10&gt;0</formula>
    </cfRule>
    <cfRule type="expression" dxfId="2214" priority="60">
      <formula>Q10&lt;0</formula>
    </cfRule>
  </conditionalFormatting>
  <conditionalFormatting sqref="F29:F31">
    <cfRule type="expression" dxfId="2213" priority="57">
      <formula>F29&gt;0</formula>
    </cfRule>
    <cfRule type="expression" dxfId="2212" priority="58">
      <formula>F29&lt;0</formula>
    </cfRule>
  </conditionalFormatting>
  <conditionalFormatting sqref="H29:H31">
    <cfRule type="expression" dxfId="2211" priority="55">
      <formula>H29&gt;0</formula>
    </cfRule>
    <cfRule type="expression" dxfId="2210" priority="56">
      <formula>H29&lt;0</formula>
    </cfRule>
  </conditionalFormatting>
  <conditionalFormatting sqref="F83:F94">
    <cfRule type="expression" dxfId="2209" priority="53">
      <formula>F83&gt;0</formula>
    </cfRule>
    <cfRule type="expression" dxfId="2208" priority="54">
      <formula>F83&lt;0</formula>
    </cfRule>
  </conditionalFormatting>
  <conditionalFormatting sqref="H83:H94">
    <cfRule type="expression" dxfId="2207" priority="51">
      <formula>H83&gt;0</formula>
    </cfRule>
    <cfRule type="expression" dxfId="2206" priority="52">
      <formula>H83&lt;0</formula>
    </cfRule>
  </conditionalFormatting>
  <conditionalFormatting sqref="J41">
    <cfRule type="expression" dxfId="2205" priority="49">
      <formula>J41&gt;0</formula>
    </cfRule>
    <cfRule type="expression" dxfId="2204" priority="50">
      <formula>J41&lt;0</formula>
    </cfRule>
  </conditionalFormatting>
  <conditionalFormatting sqref="J39:J47">
    <cfRule type="expression" dxfId="2203" priority="47">
      <formula>J39&gt;0</formula>
    </cfRule>
    <cfRule type="expression" dxfId="2202" priority="48">
      <formula>J39&lt;0</formula>
    </cfRule>
  </conditionalFormatting>
  <conditionalFormatting sqref="F48:F51 H48:H51">
    <cfRule type="expression" dxfId="2201" priority="45">
      <formula>F48&gt;0</formula>
    </cfRule>
    <cfRule type="expression" dxfId="2200" priority="46">
      <formula>F48&lt;0</formula>
    </cfRule>
  </conditionalFormatting>
  <conditionalFormatting sqref="J48:J51">
    <cfRule type="expression" dxfId="2199" priority="43">
      <formula>J48&gt;0</formula>
    </cfRule>
    <cfRule type="expression" dxfId="2198" priority="44">
      <formula>J48&lt;0</formula>
    </cfRule>
  </conditionalFormatting>
  <conditionalFormatting sqref="K45:K52">
    <cfRule type="expression" dxfId="2197" priority="41">
      <formula>K45&gt;0</formula>
    </cfRule>
    <cfRule type="expression" dxfId="2196" priority="42">
      <formula>K45&lt;0</formula>
    </cfRule>
  </conditionalFormatting>
  <conditionalFormatting sqref="K45:K52">
    <cfRule type="expression" dxfId="2195" priority="39">
      <formula>K45&gt;0</formula>
    </cfRule>
    <cfRule type="expression" dxfId="2194" priority="40">
      <formula>K45&lt;0</formula>
    </cfRule>
  </conditionalFormatting>
  <conditionalFormatting sqref="F102:F118 H102:H118 H120:H128 F120:F128">
    <cfRule type="expression" dxfId="2193" priority="35">
      <formula>F102&gt;0</formula>
    </cfRule>
    <cfRule type="expression" dxfId="2192" priority="36">
      <formula>F102&lt;0</formula>
    </cfRule>
  </conditionalFormatting>
  <conditionalFormatting sqref="F96:F101">
    <cfRule type="expression" dxfId="2191" priority="33">
      <formula>F96&gt;0</formula>
    </cfRule>
    <cfRule type="expression" dxfId="2190" priority="34">
      <formula>F96&lt;0</formula>
    </cfRule>
  </conditionalFormatting>
  <conditionalFormatting sqref="H96:H101">
    <cfRule type="expression" dxfId="2189" priority="31">
      <formula>H96&gt;0</formula>
    </cfRule>
    <cfRule type="expression" dxfId="2188" priority="32">
      <formula>H96&lt;0</formula>
    </cfRule>
  </conditionalFormatting>
  <conditionalFormatting sqref="J112">
    <cfRule type="expression" dxfId="2187" priority="29">
      <formula>J112&gt;0</formula>
    </cfRule>
    <cfRule type="expression" dxfId="2186" priority="30">
      <formula>J112&lt;0</formula>
    </cfRule>
  </conditionalFormatting>
  <conditionalFormatting sqref="J110:J118 J120">
    <cfRule type="expression" dxfId="2185" priority="27">
      <formula>J110&gt;0</formula>
    </cfRule>
    <cfRule type="expression" dxfId="2184" priority="28">
      <formula>J110&lt;0</formula>
    </cfRule>
  </conditionalFormatting>
  <conditionalFormatting sqref="F119 H119">
    <cfRule type="expression" dxfId="2183" priority="25">
      <formula>F119&gt;0</formula>
    </cfRule>
    <cfRule type="expression" dxfId="2182" priority="26">
      <formula>F119&lt;0</formula>
    </cfRule>
  </conditionalFormatting>
  <conditionalFormatting sqref="J119">
    <cfRule type="expression" dxfId="2181" priority="23">
      <formula>J119&gt;0</formula>
    </cfRule>
    <cfRule type="expression" dxfId="2180" priority="24">
      <formula>J119&lt;0</formula>
    </cfRule>
  </conditionalFormatting>
  <conditionalFormatting sqref="K112:K123">
    <cfRule type="expression" dxfId="2179" priority="21">
      <formula>K112&gt;0</formula>
    </cfRule>
    <cfRule type="expression" dxfId="2178" priority="22">
      <formula>K112&lt;0</formula>
    </cfRule>
  </conditionalFormatting>
  <conditionalFormatting sqref="K110:K123">
    <cfRule type="expression" dxfId="2177" priority="19">
      <formula>K110&gt;0</formula>
    </cfRule>
    <cfRule type="expression" dxfId="2176" priority="20">
      <formula>K110&lt;0</formula>
    </cfRule>
  </conditionalFormatting>
  <conditionalFormatting sqref="J121">
    <cfRule type="expression" dxfId="2175" priority="17">
      <formula>J121&gt;0</formula>
    </cfRule>
    <cfRule type="expression" dxfId="2174" priority="18">
      <formula>J121&lt;0</formula>
    </cfRule>
  </conditionalFormatting>
  <conditionalFormatting sqref="F25:F28">
    <cfRule type="expression" dxfId="2173" priority="15">
      <formula>F25&gt;0</formula>
    </cfRule>
    <cfRule type="expression" dxfId="2172" priority="16">
      <formula>F25&lt;0</formula>
    </cfRule>
  </conditionalFormatting>
  <conditionalFormatting sqref="H25:H28">
    <cfRule type="expression" dxfId="2171" priority="13">
      <formula>H25&gt;0</formula>
    </cfRule>
    <cfRule type="expression" dxfId="2170" priority="14">
      <formula>H25&lt;0</formula>
    </cfRule>
  </conditionalFormatting>
  <conditionalFormatting sqref="J27:J29">
    <cfRule type="expression" dxfId="2169" priority="11">
      <formula>J27&gt;0</formula>
    </cfRule>
    <cfRule type="expression" dxfId="2168" priority="12">
      <formula>J27&lt;0</formula>
    </cfRule>
  </conditionalFormatting>
  <conditionalFormatting sqref="J30:J31">
    <cfRule type="expression" dxfId="2167" priority="9">
      <formula>J30&gt;0</formula>
    </cfRule>
    <cfRule type="expression" dxfId="2166" priority="10">
      <formula>J30&lt;0</formula>
    </cfRule>
  </conditionalFormatting>
  <conditionalFormatting sqref="J33">
    <cfRule type="expression" dxfId="2165" priority="7">
      <formula>J33&gt;0</formula>
    </cfRule>
    <cfRule type="expression" dxfId="2164" priority="8">
      <formula>J33&lt;0</formula>
    </cfRule>
  </conditionalFormatting>
  <conditionalFormatting sqref="J34">
    <cfRule type="expression" dxfId="2163" priority="5">
      <formula>J34&gt;0</formula>
    </cfRule>
    <cfRule type="expression" dxfId="2162" priority="6">
      <formula>J34&lt;0</formula>
    </cfRule>
  </conditionalFormatting>
  <conditionalFormatting sqref="J35:J43">
    <cfRule type="expression" dxfId="2161" priority="3">
      <formula>J35&gt;0</formula>
    </cfRule>
    <cfRule type="expression" dxfId="216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78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68">
        <v>200</v>
      </c>
      <c r="D32" s="47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7" t="s">
        <v>78</v>
      </c>
      <c r="P40" s="847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1" t="s">
        <v>1</v>
      </c>
      <c r="B56" s="371" t="s">
        <v>2</v>
      </c>
      <c r="C56" s="371" t="s">
        <v>4</v>
      </c>
      <c r="D56" s="373" t="s">
        <v>5</v>
      </c>
      <c r="E56" s="373" t="s">
        <v>94</v>
      </c>
      <c r="F56" s="373" t="s">
        <v>60</v>
      </c>
      <c r="G56" s="371" t="s">
        <v>3</v>
      </c>
      <c r="H56" s="371" t="s">
        <v>6</v>
      </c>
      <c r="I56" s="373" t="s">
        <v>7</v>
      </c>
      <c r="J56" s="373" t="s">
        <v>95</v>
      </c>
      <c r="K56" s="373" t="s">
        <v>61</v>
      </c>
      <c r="L56" s="371" t="s">
        <v>37</v>
      </c>
      <c r="M56" s="371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4" t="s">
        <v>36</v>
      </c>
      <c r="B57" s="364">
        <v>42572</v>
      </c>
      <c r="C57" s="365">
        <v>60</v>
      </c>
      <c r="D57" s="366">
        <v>39.58</v>
      </c>
      <c r="E57" s="366">
        <v>0</v>
      </c>
      <c r="F57" s="366">
        <f>C57*D57+E57</f>
        <v>2374.7999999999997</v>
      </c>
      <c r="G57" s="364">
        <v>42620</v>
      </c>
      <c r="H57" s="369">
        <v>100</v>
      </c>
      <c r="I57" s="366">
        <v>38.479999999999997</v>
      </c>
      <c r="J57" s="366">
        <v>0.08</v>
      </c>
      <c r="K57" s="366">
        <f>I57*H57-J57</f>
        <v>3847.9199999999996</v>
      </c>
      <c r="L57" s="364">
        <v>42621</v>
      </c>
      <c r="M57" s="366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5" t="s">
        <v>71</v>
      </c>
      <c r="B58" s="364">
        <v>42572</v>
      </c>
      <c r="C58" s="365">
        <v>40</v>
      </c>
      <c r="D58" s="366">
        <v>37.880000000000003</v>
      </c>
      <c r="E58" s="366">
        <v>0</v>
      </c>
      <c r="F58" s="366">
        <f>C58*D58+E58</f>
        <v>1515.2</v>
      </c>
      <c r="G58" s="364">
        <v>42640</v>
      </c>
      <c r="H58" s="369">
        <v>100</v>
      </c>
      <c r="I58" s="366">
        <v>38.549999999999997</v>
      </c>
      <c r="J58" s="366">
        <v>0.08</v>
      </c>
      <c r="K58" s="366">
        <f>I58*H58-J58</f>
        <v>3854.9199999999996</v>
      </c>
      <c r="L58" s="365"/>
      <c r="M58" s="365"/>
      <c r="O58" s="81">
        <v>0.93</v>
      </c>
      <c r="P58" s="81">
        <f t="shared" si="6"/>
        <v>52.4148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5"/>
      <c r="B59" s="364">
        <v>42572</v>
      </c>
      <c r="C59" s="365">
        <v>40</v>
      </c>
      <c r="D59" s="366">
        <v>37.58</v>
      </c>
      <c r="E59" s="366">
        <v>0</v>
      </c>
      <c r="F59" s="366">
        <f>C59*D59+E59</f>
        <v>1503.1999999999998</v>
      </c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5"/>
      <c r="B60" s="364">
        <v>42576</v>
      </c>
      <c r="C60" s="365">
        <v>30</v>
      </c>
      <c r="D60" s="366">
        <v>37.15</v>
      </c>
      <c r="E60" s="366">
        <v>0</v>
      </c>
      <c r="F60" s="366">
        <f>C60*D60+E60</f>
        <v>1114.5</v>
      </c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5"/>
      <c r="B61" s="364">
        <v>42594</v>
      </c>
      <c r="C61" s="365">
        <v>30</v>
      </c>
      <c r="D61" s="366">
        <v>36.58</v>
      </c>
      <c r="E61" s="366">
        <v>0</v>
      </c>
      <c r="F61" s="366">
        <f>C61*D61+E61</f>
        <v>1097.3999999999999</v>
      </c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59" priority="15">
      <formula>F39&gt;0</formula>
    </cfRule>
    <cfRule type="expression" dxfId="2158" priority="16">
      <formula>F39&lt;0</formula>
    </cfRule>
  </conditionalFormatting>
  <conditionalFormatting sqref="Q7">
    <cfRule type="expression" dxfId="2157" priority="13">
      <formula>Q7&gt;0</formula>
    </cfRule>
    <cfRule type="expression" dxfId="2156" priority="14">
      <formula>Q7&lt;0</formula>
    </cfRule>
  </conditionalFormatting>
  <conditionalFormatting sqref="Q8">
    <cfRule type="expression" dxfId="2155" priority="11">
      <formula>Q8&gt;0</formula>
    </cfRule>
    <cfRule type="expression" dxfId="2154" priority="12">
      <formula>Q8&lt;0</formula>
    </cfRule>
  </conditionalFormatting>
  <conditionalFormatting sqref="F25:F38">
    <cfRule type="expression" dxfId="2153" priority="9">
      <formula>F25&gt;0</formula>
    </cfRule>
    <cfRule type="expression" dxfId="2152" priority="10">
      <formula>F25&lt;0</formula>
    </cfRule>
  </conditionalFormatting>
  <conditionalFormatting sqref="H25:H38">
    <cfRule type="expression" dxfId="2151" priority="7">
      <formula>H25&gt;0</formula>
    </cfRule>
    <cfRule type="expression" dxfId="215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49" priority="3">
      <formula>M55&gt;0</formula>
    </cfRule>
    <cfRule type="expression" dxfId="2148" priority="4">
      <formula>M55&lt;0</formula>
    </cfRule>
  </conditionalFormatting>
  <conditionalFormatting sqref="Q10">
    <cfRule type="expression" dxfId="2147" priority="1">
      <formula>Q10&gt;0</formula>
    </cfRule>
    <cfRule type="expression" dxfId="214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69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78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7" t="s">
        <v>113</v>
      </c>
      <c r="C21" s="487" t="s">
        <v>146</v>
      </c>
      <c r="D21" s="488" t="s">
        <v>145</v>
      </c>
      <c r="E21" s="489" t="s">
        <v>147</v>
      </c>
      <c r="F21" s="490" t="s">
        <v>65</v>
      </c>
      <c r="G21" s="491" t="s">
        <v>151</v>
      </c>
      <c r="H21" s="490" t="s">
        <v>88</v>
      </c>
      <c r="I21" s="49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8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8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7" t="s">
        <v>78</v>
      </c>
      <c r="P40" s="84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1" t="s">
        <v>1</v>
      </c>
      <c r="B42" s="371" t="s">
        <v>2</v>
      </c>
      <c r="C42" s="371" t="s">
        <v>4</v>
      </c>
      <c r="D42" s="373" t="s">
        <v>5</v>
      </c>
      <c r="E42" s="373" t="s">
        <v>94</v>
      </c>
      <c r="F42" s="373" t="s">
        <v>60</v>
      </c>
      <c r="G42" s="371" t="s">
        <v>3</v>
      </c>
      <c r="H42" s="371" t="s">
        <v>6</v>
      </c>
      <c r="I42" s="373" t="s">
        <v>7</v>
      </c>
      <c r="J42" s="373" t="s">
        <v>95</v>
      </c>
      <c r="K42" s="373" t="s">
        <v>61</v>
      </c>
      <c r="L42" s="371" t="s">
        <v>37</v>
      </c>
      <c r="M42" s="371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4" t="s">
        <v>316</v>
      </c>
      <c r="B43" s="364">
        <v>42719</v>
      </c>
      <c r="C43" s="365">
        <v>50</v>
      </c>
      <c r="D43" s="366">
        <v>31.18</v>
      </c>
      <c r="E43" s="366">
        <v>0</v>
      </c>
      <c r="F43" s="366">
        <f>C43*D43+E43</f>
        <v>1559</v>
      </c>
      <c r="G43" s="364">
        <v>42753</v>
      </c>
      <c r="H43" s="365">
        <v>50</v>
      </c>
      <c r="I43" s="366">
        <v>32.92</v>
      </c>
      <c r="J43" s="366">
        <v>0.04</v>
      </c>
      <c r="K43" s="366">
        <f>H43*I43-J43</f>
        <v>1645.96</v>
      </c>
      <c r="L43" s="364">
        <v>42748</v>
      </c>
      <c r="M43" s="365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5"/>
      <c r="M44" s="365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9"/>
      <c r="I45" s="366"/>
      <c r="J45" s="366"/>
      <c r="K45" s="366"/>
      <c r="L45" s="365"/>
      <c r="M45" s="365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9"/>
      <c r="I46" s="366"/>
      <c r="J46" s="366"/>
      <c r="K46" s="366"/>
      <c r="L46" s="365"/>
      <c r="M46" s="365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9"/>
      <c r="I47" s="366"/>
      <c r="J47" s="366"/>
      <c r="K47" s="366"/>
      <c r="L47" s="365"/>
      <c r="M47" s="365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9"/>
      <c r="I48" s="366"/>
      <c r="J48" s="366"/>
      <c r="K48" s="366"/>
      <c r="L48" s="365"/>
      <c r="M48" s="365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9"/>
      <c r="I49" s="366"/>
      <c r="J49" s="366"/>
      <c r="K49" s="366"/>
      <c r="L49" s="365"/>
      <c r="M49" s="365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9"/>
      <c r="I50" s="366"/>
      <c r="J50" s="366"/>
      <c r="K50" s="366"/>
      <c r="L50" s="365"/>
      <c r="M50" s="365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5"/>
      <c r="B51" s="365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</v>
      </c>
      <c r="P51" s="81">
        <f t="shared" si="2"/>
        <v>41.48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6"/>
      <c r="J52" s="366"/>
      <c r="K52" s="366"/>
      <c r="L52" s="365"/>
      <c r="M52" s="365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5"/>
      <c r="B53" s="365"/>
      <c r="C53" s="365"/>
      <c r="D53" s="366"/>
      <c r="E53" s="366"/>
      <c r="F53" s="366"/>
      <c r="G53" s="365"/>
      <c r="H53" s="365"/>
      <c r="I53" s="366"/>
      <c r="J53" s="366"/>
      <c r="K53" s="366"/>
      <c r="L53" s="365"/>
      <c r="M53" s="365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5"/>
      <c r="B54" s="365"/>
      <c r="C54" s="365"/>
      <c r="D54" s="366"/>
      <c r="E54" s="366"/>
      <c r="F54" s="366"/>
      <c r="G54" s="365"/>
      <c r="H54" s="365"/>
      <c r="I54" s="366"/>
      <c r="J54" s="366"/>
      <c r="K54" s="366"/>
      <c r="L54" s="365"/>
      <c r="M54" s="365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5"/>
      <c r="I55" s="366"/>
      <c r="J55" s="366"/>
      <c r="K55" s="366"/>
      <c r="L55" s="365"/>
      <c r="M55" s="365"/>
      <c r="O55" s="81">
        <v>0.96</v>
      </c>
      <c r="P55" s="81">
        <f t="shared" si="2"/>
        <v>39.820799999999998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5"/>
      <c r="I56" s="366"/>
      <c r="J56" s="366"/>
      <c r="K56" s="366"/>
      <c r="L56" s="365"/>
      <c r="M56" s="365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5"/>
      <c r="I57" s="366"/>
      <c r="J57" s="366"/>
      <c r="K57" s="366"/>
      <c r="L57" s="365"/>
      <c r="M57" s="365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38.5764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7"/>
      <c r="B60" s="448"/>
      <c r="C60" s="449"/>
      <c r="D60" s="449"/>
      <c r="E60" s="449"/>
      <c r="F60" s="450"/>
      <c r="G60" s="449"/>
      <c r="H60" s="449"/>
      <c r="I60" s="449"/>
      <c r="J60" s="449"/>
      <c r="K60" s="450"/>
      <c r="L60" s="449"/>
      <c r="M60" s="565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5"/>
      <c r="C68" s="415"/>
      <c r="D68" s="559"/>
      <c r="E68" s="559"/>
      <c r="F68" s="559"/>
      <c r="G68" s="415"/>
      <c r="H68" s="415"/>
      <c r="I68" s="55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5"/>
      <c r="B69" s="72"/>
      <c r="C69" s="4"/>
      <c r="D69" s="3"/>
      <c r="E69" s="3"/>
      <c r="F69" s="3"/>
      <c r="G69" s="72"/>
      <c r="H69" s="179"/>
      <c r="I69" s="3"/>
      <c r="J69" s="559"/>
      <c r="K69" s="559"/>
      <c r="L69" s="415"/>
      <c r="M69" s="415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0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1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45" priority="27">
      <formula>F27&gt;0</formula>
    </cfRule>
    <cfRule type="expression" dxfId="214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43" priority="15">
      <formula>Q8&gt;0</formula>
    </cfRule>
    <cfRule type="expression" dxfId="2142" priority="16">
      <formula>Q8&lt;0</formula>
    </cfRule>
  </conditionalFormatting>
  <conditionalFormatting sqref="Q7">
    <cfRule type="expression" dxfId="2141" priority="17">
      <formula>Q7&gt;0</formula>
    </cfRule>
    <cfRule type="expression" dxfId="2140" priority="18">
      <formula>Q7&lt;0</formula>
    </cfRule>
  </conditionalFormatting>
  <conditionalFormatting sqref="F37:F38">
    <cfRule type="expression" dxfId="2139" priority="13">
      <formula>F37&gt;0</formula>
    </cfRule>
    <cfRule type="expression" dxfId="2138" priority="14">
      <formula>F37&lt;0</formula>
    </cfRule>
  </conditionalFormatting>
  <conditionalFormatting sqref="H37:H38">
    <cfRule type="expression" dxfId="2137" priority="11">
      <formula>H37&gt;0</formula>
    </cfRule>
    <cfRule type="expression" dxfId="2136" priority="12">
      <formula>H37&lt;0</formula>
    </cfRule>
  </conditionalFormatting>
  <conditionalFormatting sqref="F23:F26 H23:H26">
    <cfRule type="expression" dxfId="2135" priority="9">
      <formula>F23&gt;0</formula>
    </cfRule>
    <cfRule type="expression" dxfId="2134" priority="10">
      <formula>F23&lt;0</formula>
    </cfRule>
  </conditionalFormatting>
  <conditionalFormatting sqref="Q10">
    <cfRule type="expression" dxfId="2133" priority="3">
      <formula>Q10&gt;0</formula>
    </cfRule>
    <cfRule type="expression" dxfId="2132" priority="4">
      <formula>Q10&lt;0</formula>
    </cfRule>
  </conditionalFormatting>
  <conditionalFormatting sqref="F22 H22">
    <cfRule type="expression" dxfId="2131" priority="1">
      <formula>F22&gt;0</formula>
    </cfRule>
    <cfRule type="expression" dxfId="2130" priority="2">
      <formula>F22&lt;0</formula>
    </cfRule>
  </conditionalFormatting>
  <conditionalFormatting sqref="M41">
    <cfRule type="expression" dxfId="2129" priority="5">
      <formula>M41&gt;0</formula>
    </cfRule>
    <cfRule type="expression" dxfId="212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78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4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4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4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4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1" t="s">
        <v>1</v>
      </c>
      <c r="B47" s="371" t="s">
        <v>2</v>
      </c>
      <c r="C47" s="371" t="s">
        <v>4</v>
      </c>
      <c r="D47" s="373" t="s">
        <v>5</v>
      </c>
      <c r="E47" s="373" t="s">
        <v>94</v>
      </c>
      <c r="F47" s="373" t="s">
        <v>60</v>
      </c>
      <c r="G47" s="371" t="s">
        <v>3</v>
      </c>
      <c r="H47" s="371" t="s">
        <v>6</v>
      </c>
      <c r="I47" s="373" t="s">
        <v>7</v>
      </c>
      <c r="J47" s="373" t="s">
        <v>95</v>
      </c>
      <c r="K47" s="373" t="s">
        <v>61</v>
      </c>
      <c r="L47" s="371" t="s">
        <v>37</v>
      </c>
      <c r="M47" s="371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4" t="s">
        <v>300</v>
      </c>
      <c r="B48" s="364">
        <v>42669</v>
      </c>
      <c r="C48" s="365">
        <v>20</v>
      </c>
      <c r="D48" s="366">
        <v>49.18</v>
      </c>
      <c r="E48" s="366">
        <v>0</v>
      </c>
      <c r="F48" s="366">
        <f t="shared" ref="F48:F53" si="3">C48*D48+E48</f>
        <v>983.6</v>
      </c>
      <c r="G48" s="364">
        <v>42710</v>
      </c>
      <c r="H48" s="369">
        <v>20</v>
      </c>
      <c r="I48" s="366">
        <v>55.88</v>
      </c>
      <c r="J48" s="366">
        <v>0.02</v>
      </c>
      <c r="K48" s="366">
        <f>I48*H48-J48</f>
        <v>1117.5800000000002</v>
      </c>
      <c r="L48" s="364"/>
      <c r="M48" s="365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5" t="s">
        <v>71</v>
      </c>
      <c r="B49" s="364">
        <v>42669</v>
      </c>
      <c r="C49" s="365">
        <v>30</v>
      </c>
      <c r="D49" s="366">
        <v>49.18</v>
      </c>
      <c r="E49" s="366">
        <v>0</v>
      </c>
      <c r="F49" s="366">
        <f t="shared" si="3"/>
        <v>1475.4</v>
      </c>
      <c r="G49" s="364">
        <v>42713</v>
      </c>
      <c r="H49" s="369">
        <v>30</v>
      </c>
      <c r="I49" s="366">
        <v>56.28</v>
      </c>
      <c r="J49" s="366">
        <v>0.04</v>
      </c>
      <c r="K49" s="366">
        <f>I49*H49-J49</f>
        <v>1688.3600000000001</v>
      </c>
      <c r="L49" s="365"/>
      <c r="M49" s="365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5"/>
      <c r="B50" s="585">
        <v>42711</v>
      </c>
      <c r="C50" s="586">
        <v>20</v>
      </c>
      <c r="D50" s="587">
        <v>55.06</v>
      </c>
      <c r="E50" s="587">
        <v>0</v>
      </c>
      <c r="F50" s="587">
        <f t="shared" si="3"/>
        <v>1101.2</v>
      </c>
      <c r="G50" s="585">
        <v>42780</v>
      </c>
      <c r="H50" s="588">
        <v>20</v>
      </c>
      <c r="I50" s="587">
        <v>52.48</v>
      </c>
      <c r="J50" s="587">
        <v>0.02</v>
      </c>
      <c r="K50" s="587">
        <f>I50*H50-J50</f>
        <v>1049.58</v>
      </c>
      <c r="L50" s="585">
        <v>42768</v>
      </c>
      <c r="M50" s="587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5"/>
      <c r="B51" s="585">
        <v>42755</v>
      </c>
      <c r="C51" s="586">
        <v>20</v>
      </c>
      <c r="D51" s="587">
        <v>51.33</v>
      </c>
      <c r="E51" s="587">
        <v>0</v>
      </c>
      <c r="F51" s="587">
        <f t="shared" si="3"/>
        <v>1026.5999999999999</v>
      </c>
      <c r="G51" s="585">
        <v>42787</v>
      </c>
      <c r="H51" s="588">
        <v>80</v>
      </c>
      <c r="I51" s="587">
        <v>55.58</v>
      </c>
      <c r="J51" s="587">
        <v>0.1</v>
      </c>
      <c r="K51" s="587">
        <f>I51*H51-J51</f>
        <v>4446.2999999999993</v>
      </c>
      <c r="L51" s="365"/>
      <c r="M51" s="365"/>
      <c r="O51" s="81">
        <v>1</v>
      </c>
      <c r="P51" s="81">
        <f t="shared" si="2"/>
        <v>62.98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5"/>
      <c r="B52" s="585">
        <v>42755</v>
      </c>
      <c r="C52" s="586">
        <v>20</v>
      </c>
      <c r="D52" s="587">
        <v>51.44</v>
      </c>
      <c r="E52" s="587">
        <v>0</v>
      </c>
      <c r="F52" s="587">
        <f t="shared" si="3"/>
        <v>1028.8</v>
      </c>
      <c r="G52" s="586"/>
      <c r="H52" s="588"/>
      <c r="I52" s="587"/>
      <c r="J52" s="587"/>
      <c r="K52" s="587"/>
      <c r="L52" s="365"/>
      <c r="M52" s="365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5"/>
      <c r="B53" s="585">
        <v>42755</v>
      </c>
      <c r="C53" s="586">
        <v>40</v>
      </c>
      <c r="D53" s="587">
        <v>49.68</v>
      </c>
      <c r="E53" s="587">
        <v>0</v>
      </c>
      <c r="F53" s="587">
        <f t="shared" si="3"/>
        <v>1987.2</v>
      </c>
      <c r="G53" s="586"/>
      <c r="H53" s="588"/>
      <c r="I53" s="587"/>
      <c r="J53" s="587"/>
      <c r="K53" s="587"/>
      <c r="L53" s="365"/>
      <c r="M53" s="365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5"/>
      <c r="M54" s="365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2"/>
        <v>60.460799999999992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58.571399999999997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5"/>
      <c r="I63" s="366"/>
      <c r="J63" s="366"/>
      <c r="K63" s="366"/>
      <c r="L63" s="365"/>
      <c r="M63" s="36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6" t="s">
        <v>337</v>
      </c>
      <c r="B71" s="455">
        <v>42754</v>
      </c>
      <c r="C71" s="456">
        <v>20</v>
      </c>
      <c r="D71" s="589">
        <v>55.06</v>
      </c>
      <c r="E71" s="457">
        <v>55.49</v>
      </c>
      <c r="F71" s="457">
        <f t="shared" ref="F71:F78" si="4">C71*(E71-D71)</f>
        <v>8.5999999999999943</v>
      </c>
      <c r="G71" s="457">
        <f t="shared" ref="G71:G78" si="5">D71*C71</f>
        <v>1101.2</v>
      </c>
      <c r="H71" s="590">
        <f t="shared" ref="H71:H78" si="6">(E71-D71)/D71</f>
        <v>7.8096621867054065E-3</v>
      </c>
      <c r="I71" s="457"/>
      <c r="W71" s="130"/>
      <c r="X71" s="10"/>
      <c r="Y71" s="10"/>
      <c r="Z71" s="10"/>
      <c r="AA71" s="10"/>
      <c r="AB71" s="93"/>
      <c r="AC71" s="10"/>
    </row>
    <row r="72" spans="1:31" x14ac:dyDescent="0.25">
      <c r="A72" s="456" t="s">
        <v>348</v>
      </c>
      <c r="B72" s="455">
        <v>42755</v>
      </c>
      <c r="C72" s="456">
        <v>100</v>
      </c>
      <c r="D72" s="589">
        <v>51.438000000000002</v>
      </c>
      <c r="E72" s="457">
        <v>49.23</v>
      </c>
      <c r="F72" s="457">
        <f t="shared" si="4"/>
        <v>-220.80000000000055</v>
      </c>
      <c r="G72" s="457">
        <f t="shared" si="5"/>
        <v>5143.8</v>
      </c>
      <c r="H72" s="590">
        <f t="shared" si="6"/>
        <v>-4.2925463664994855E-2</v>
      </c>
      <c r="I72" s="457">
        <v>50</v>
      </c>
    </row>
    <row r="73" spans="1:31" x14ac:dyDescent="0.25">
      <c r="A73" s="456" t="s">
        <v>365</v>
      </c>
      <c r="B73" s="455">
        <v>42761</v>
      </c>
      <c r="C73" s="456">
        <v>120</v>
      </c>
      <c r="D73" s="589">
        <v>50.715000000000003</v>
      </c>
      <c r="E73" s="457">
        <v>46.82</v>
      </c>
      <c r="F73" s="457">
        <f t="shared" si="4"/>
        <v>-467.40000000000038</v>
      </c>
      <c r="G73" s="457">
        <f t="shared" si="5"/>
        <v>6085.8</v>
      </c>
      <c r="H73" s="590">
        <f t="shared" si="6"/>
        <v>-7.680173518682841E-2</v>
      </c>
      <c r="I73" s="457"/>
    </row>
    <row r="74" spans="1:31" x14ac:dyDescent="0.25">
      <c r="A74" s="456" t="s">
        <v>365</v>
      </c>
      <c r="B74" s="455">
        <v>42764</v>
      </c>
      <c r="C74" s="456">
        <v>120</v>
      </c>
      <c r="D74" s="589">
        <v>50.715000000000003</v>
      </c>
      <c r="E74" s="457">
        <v>47.74</v>
      </c>
      <c r="F74" s="457">
        <f t="shared" si="4"/>
        <v>-357.00000000000017</v>
      </c>
      <c r="G74" s="457">
        <f t="shared" si="5"/>
        <v>6085.8</v>
      </c>
      <c r="H74" s="590">
        <f t="shared" si="6"/>
        <v>-5.866114561766738E-2</v>
      </c>
      <c r="I74" s="457"/>
    </row>
    <row r="75" spans="1:31" x14ac:dyDescent="0.25">
      <c r="A75" s="456" t="s">
        <v>389</v>
      </c>
      <c r="B75" s="455">
        <v>42768</v>
      </c>
      <c r="C75" s="456">
        <v>120</v>
      </c>
      <c r="D75" s="589">
        <v>50.65</v>
      </c>
      <c r="E75" s="457">
        <v>50.5</v>
      </c>
      <c r="F75" s="457">
        <f t="shared" si="4"/>
        <v>-17.999999999999829</v>
      </c>
      <c r="G75" s="457">
        <f t="shared" si="5"/>
        <v>6078</v>
      </c>
      <c r="H75" s="590">
        <f t="shared" si="6"/>
        <v>-2.9615004935833874E-3</v>
      </c>
      <c r="I75" s="457"/>
    </row>
    <row r="76" spans="1:31" x14ac:dyDescent="0.25">
      <c r="A76" s="456" t="s">
        <v>425</v>
      </c>
      <c r="B76" s="455">
        <v>42780</v>
      </c>
      <c r="C76" s="456">
        <v>100</v>
      </c>
      <c r="D76" s="589">
        <v>50.284199999999998</v>
      </c>
      <c r="E76" s="457">
        <v>53.71</v>
      </c>
      <c r="F76" s="457">
        <f t="shared" si="4"/>
        <v>342.58000000000027</v>
      </c>
      <c r="G76" s="457">
        <f t="shared" si="5"/>
        <v>5028.42</v>
      </c>
      <c r="H76" s="590">
        <f t="shared" si="6"/>
        <v>6.8128756150043199E-2</v>
      </c>
      <c r="I76" s="457">
        <v>50</v>
      </c>
    </row>
    <row r="77" spans="1:31" x14ac:dyDescent="0.25">
      <c r="A77" s="634" t="s">
        <v>441</v>
      </c>
      <c r="B77" s="633">
        <v>42787</v>
      </c>
      <c r="C77" s="634">
        <v>20</v>
      </c>
      <c r="D77" s="635">
        <v>47.1</v>
      </c>
      <c r="E77" s="632">
        <v>54.78</v>
      </c>
      <c r="F77" s="632">
        <f t="shared" si="4"/>
        <v>153.6</v>
      </c>
      <c r="G77" s="632">
        <f t="shared" si="5"/>
        <v>942</v>
      </c>
      <c r="H77" s="636">
        <f t="shared" si="6"/>
        <v>0.16305732484076432</v>
      </c>
      <c r="I77" s="632"/>
    </row>
    <row r="78" spans="1:31" x14ac:dyDescent="0.25">
      <c r="A78" s="634" t="s">
        <v>458</v>
      </c>
      <c r="B78" s="633">
        <v>42792</v>
      </c>
      <c r="C78" s="634">
        <v>20</v>
      </c>
      <c r="D78" s="635">
        <v>47.1</v>
      </c>
      <c r="E78" s="632">
        <v>54.78</v>
      </c>
      <c r="F78" s="632">
        <f t="shared" si="4"/>
        <v>153.6</v>
      </c>
      <c r="G78" s="632">
        <f t="shared" si="5"/>
        <v>942</v>
      </c>
      <c r="H78" s="636">
        <f t="shared" si="6"/>
        <v>0.16305732484076432</v>
      </c>
      <c r="I78" s="632"/>
    </row>
    <row r="79" spans="1:31" x14ac:dyDescent="0.25">
      <c r="A79" s="634"/>
      <c r="B79" s="633">
        <v>42796</v>
      </c>
      <c r="C79" s="634">
        <v>0</v>
      </c>
      <c r="D79" s="635"/>
      <c r="E79" s="632"/>
      <c r="F79" s="632">
        <v>203.98</v>
      </c>
      <c r="G79" s="632"/>
      <c r="H79" s="636"/>
      <c r="I79" s="637"/>
    </row>
    <row r="80" spans="1:31" x14ac:dyDescent="0.25">
      <c r="B80" s="187"/>
      <c r="C80" s="10"/>
      <c r="D80" s="584"/>
      <c r="E80" s="39"/>
      <c r="F80" s="39"/>
      <c r="G80" s="39"/>
      <c r="H80" s="225"/>
      <c r="I80" s="39"/>
    </row>
    <row r="81" spans="2:9" x14ac:dyDescent="0.25">
      <c r="B81" s="187"/>
      <c r="C81" s="10"/>
      <c r="D81" s="584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27" priority="29">
      <formula>F25&gt;0</formula>
    </cfRule>
    <cfRule type="expression" dxfId="2126" priority="30">
      <formula>F25&lt;0</formula>
    </cfRule>
  </conditionalFormatting>
  <conditionalFormatting sqref="Q7">
    <cfRule type="expression" dxfId="2125" priority="27">
      <formula>Q7&gt;0</formula>
    </cfRule>
    <cfRule type="expression" dxfId="2124" priority="28">
      <formula>Q7&lt;0</formula>
    </cfRule>
  </conditionalFormatting>
  <conditionalFormatting sqref="Q8">
    <cfRule type="expression" dxfId="2123" priority="25">
      <formula>Q8&gt;0</formula>
    </cfRule>
    <cfRule type="expression" dxfId="2122" priority="26">
      <formula>Q8&lt;0</formula>
    </cfRule>
  </conditionalFormatting>
  <conditionalFormatting sqref="Q10">
    <cfRule type="expression" dxfId="2121" priority="13">
      <formula>Q10&gt;0</formula>
    </cfRule>
    <cfRule type="expression" dxfId="2120" priority="14">
      <formula>Q10&lt;0</formula>
    </cfRule>
  </conditionalFormatting>
  <conditionalFormatting sqref="M46">
    <cfRule type="expression" dxfId="2119" priority="11">
      <formula>M46&gt;0</formula>
    </cfRule>
    <cfRule type="expression" dxfId="2118" priority="12">
      <formula>M46&lt;0</formula>
    </cfRule>
  </conditionalFormatting>
  <conditionalFormatting sqref="F80:F88 H80:H88">
    <cfRule type="expression" dxfId="2117" priority="9">
      <formula>F80&gt;0</formula>
    </cfRule>
    <cfRule type="expression" dxfId="2116" priority="10">
      <formula>F80&lt;0</formula>
    </cfRule>
  </conditionalFormatting>
  <conditionalFormatting sqref="F75:F79">
    <cfRule type="expression" dxfId="2115" priority="7">
      <formula>F75&gt;0</formula>
    </cfRule>
    <cfRule type="expression" dxfId="2114" priority="8">
      <formula>F75&lt;0</formula>
    </cfRule>
  </conditionalFormatting>
  <conditionalFormatting sqref="H75:H79">
    <cfRule type="expression" dxfId="2113" priority="5">
      <formula>H75&gt;0</formula>
    </cfRule>
    <cfRule type="expression" dxfId="2112" priority="6">
      <formula>H75&lt;0</formula>
    </cfRule>
  </conditionalFormatting>
  <conditionalFormatting sqref="F71:F74">
    <cfRule type="expression" dxfId="2111" priority="3">
      <formula>F71&gt;0</formula>
    </cfRule>
    <cfRule type="expression" dxfId="2110" priority="4">
      <formula>F71&lt;0</formula>
    </cfRule>
  </conditionalFormatting>
  <conditionalFormatting sqref="H71:H74">
    <cfRule type="expression" dxfId="2109" priority="1">
      <formula>H71&gt;0</formula>
    </cfRule>
    <cfRule type="expression" dxfId="210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498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705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100</v>
      </c>
      <c r="D84" s="521"/>
      <c r="E84" s="521"/>
      <c r="F84" s="521">
        <f>SUM(F68:F72)</f>
        <v>2248</v>
      </c>
      <c r="G84" s="520"/>
      <c r="H84" s="542">
        <f>SUM(H68:H71)</f>
        <v>100</v>
      </c>
      <c r="I84" s="521"/>
      <c r="J84" s="521"/>
      <c r="K84" s="521">
        <f>SUM(K68:K71)</f>
        <v>2805.94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07" priority="21">
      <formula>F47&gt;0</formula>
    </cfRule>
    <cfRule type="expression" dxfId="2106" priority="22">
      <formula>F47&lt;0</formula>
    </cfRule>
  </conditionalFormatting>
  <conditionalFormatting sqref="Q7">
    <cfRule type="expression" dxfId="2105" priority="19">
      <formula>Q7&gt;0</formula>
    </cfRule>
    <cfRule type="expression" dxfId="2104" priority="20">
      <formula>Q7&lt;0</formula>
    </cfRule>
  </conditionalFormatting>
  <conditionalFormatting sqref="Q8">
    <cfRule type="expression" dxfId="2103" priority="17">
      <formula>Q8&gt;0</formula>
    </cfRule>
    <cfRule type="expression" dxfId="2102" priority="18">
      <formula>Q8&lt;0</formula>
    </cfRule>
  </conditionalFormatting>
  <conditionalFormatting sqref="F25:F46">
    <cfRule type="expression" dxfId="2101" priority="15">
      <formula>F25&gt;0</formula>
    </cfRule>
    <cfRule type="expression" dxfId="2100" priority="16">
      <formula>F25&lt;0</formula>
    </cfRule>
  </conditionalFormatting>
  <conditionalFormatting sqref="H25:H46">
    <cfRule type="expression" dxfId="2099" priority="13">
      <formula>H25&gt;0</formula>
    </cfRule>
    <cfRule type="expression" dxfId="2098" priority="14">
      <formula>H25&lt;0</formula>
    </cfRule>
  </conditionalFormatting>
  <conditionalFormatting sqref="F89:F110">
    <cfRule type="expression" dxfId="2097" priority="11">
      <formula>F89&gt;0</formula>
    </cfRule>
    <cfRule type="expression" dxfId="2096" priority="12">
      <formula>F89&lt;0</formula>
    </cfRule>
  </conditionalFormatting>
  <conditionalFormatting sqref="H89:H110">
    <cfRule type="expression" dxfId="2095" priority="9">
      <formula>H89&gt;0</formula>
    </cfRule>
    <cfRule type="expression" dxfId="2094" priority="10">
      <formula>H89&lt;0</formula>
    </cfRule>
  </conditionalFormatting>
  <conditionalFormatting sqref="Q10">
    <cfRule type="expression" dxfId="2093" priority="7">
      <formula>Q10&gt;0</formula>
    </cfRule>
    <cfRule type="expression" dxfId="2092" priority="8">
      <formula>Q10&lt;0</formula>
    </cfRule>
  </conditionalFormatting>
  <conditionalFormatting sqref="J25:J38">
    <cfRule type="expression" dxfId="2091" priority="5">
      <formula>J25&gt;0</formula>
    </cfRule>
    <cfRule type="expression" dxfId="2090" priority="6">
      <formula>J25&lt;0</formula>
    </cfRule>
  </conditionalFormatting>
  <conditionalFormatting sqref="K25:K38">
    <cfRule type="expression" dxfId="2089" priority="3">
      <formula>K25&gt;0</formula>
    </cfRule>
    <cfRule type="expression" dxfId="2088" priority="4">
      <formula>K25&lt;0</formula>
    </cfRule>
  </conditionalFormatting>
  <conditionalFormatting sqref="L25:L38">
    <cfRule type="expression" dxfId="2087" priority="1">
      <formula>L25&gt;0</formula>
    </cfRule>
    <cfRule type="expression" dxfId="20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78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37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7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2" t="s">
        <v>194</v>
      </c>
      <c r="B65" s="443"/>
      <c r="C65" s="444">
        <f>SumByColor($A$19,C48:C63)</f>
        <v>60</v>
      </c>
      <c r="D65" s="444"/>
      <c r="E65" s="444"/>
      <c r="F65" s="445">
        <f>SumByColor($A$19,F48:F63)</f>
        <v>2724</v>
      </c>
      <c r="G65" s="444"/>
      <c r="H65" s="444">
        <f>SumByColor($A$19,H48:H63)</f>
        <v>60</v>
      </c>
      <c r="I65" s="444"/>
      <c r="J65" s="444"/>
      <c r="K65" s="445">
        <f>SumByColor($A$19,K48:K63)</f>
        <v>2831</v>
      </c>
      <c r="L65" s="444"/>
      <c r="M65" s="445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4">
        <v>42577</v>
      </c>
      <c r="C70" s="365">
        <v>30</v>
      </c>
      <c r="D70" s="366">
        <v>52</v>
      </c>
      <c r="E70" s="366">
        <v>58.09</v>
      </c>
      <c r="F70" s="366">
        <f t="shared" ref="F70:F78" si="1">C70*(E70-D70)</f>
        <v>182.7000000000001</v>
      </c>
      <c r="G70" s="366">
        <f t="shared" ref="G70:G78" si="2">D70*C70</f>
        <v>1560</v>
      </c>
      <c r="H70" s="367">
        <f t="shared" ref="H70:H78" si="3">(E70-D70)/D70</f>
        <v>0.11711538461538468</v>
      </c>
      <c r="I70" s="366" t="s">
        <v>250</v>
      </c>
    </row>
    <row r="71" spans="1:31" x14ac:dyDescent="0.25">
      <c r="B71" s="364">
        <v>42578</v>
      </c>
      <c r="C71" s="365">
        <v>50</v>
      </c>
      <c r="D71" s="366">
        <v>50.607999999999997</v>
      </c>
      <c r="E71" s="366">
        <v>50.51</v>
      </c>
      <c r="F71" s="366">
        <f t="shared" si="1"/>
        <v>-4.8999999999999488</v>
      </c>
      <c r="G71" s="366">
        <f t="shared" si="2"/>
        <v>2530.3999999999996</v>
      </c>
      <c r="H71" s="367">
        <f t="shared" si="3"/>
        <v>-1.9364527347454747E-3</v>
      </c>
      <c r="I71" s="366"/>
    </row>
    <row r="72" spans="1:31" x14ac:dyDescent="0.25">
      <c r="B72" s="364">
        <v>42580</v>
      </c>
      <c r="C72" s="365">
        <v>20</v>
      </c>
      <c r="D72" s="366">
        <v>50.396500000000003</v>
      </c>
      <c r="E72" s="366">
        <v>50.53</v>
      </c>
      <c r="F72" s="366">
        <f t="shared" si="1"/>
        <v>2.6699999999999591</v>
      </c>
      <c r="G72" s="366">
        <f t="shared" si="2"/>
        <v>1007.9300000000001</v>
      </c>
      <c r="H72" s="367">
        <f t="shared" si="3"/>
        <v>2.6489934816901562E-3</v>
      </c>
      <c r="I72" s="366" t="s">
        <v>253</v>
      </c>
    </row>
    <row r="73" spans="1:31" x14ac:dyDescent="0.25">
      <c r="B73" s="364">
        <v>42585</v>
      </c>
      <c r="C73" s="365">
        <v>20</v>
      </c>
      <c r="D73" s="366">
        <v>50.396500000000003</v>
      </c>
      <c r="E73" s="366">
        <v>49.96</v>
      </c>
      <c r="F73" s="366">
        <f t="shared" si="1"/>
        <v>-8.7300000000000466</v>
      </c>
      <c r="G73" s="366">
        <f t="shared" si="2"/>
        <v>1007.9300000000001</v>
      </c>
      <c r="H73" s="367">
        <f t="shared" si="3"/>
        <v>-8.6613157659758567E-3</v>
      </c>
      <c r="I73" s="366"/>
    </row>
    <row r="74" spans="1:31" x14ac:dyDescent="0.25">
      <c r="B74" s="364">
        <v>42593</v>
      </c>
      <c r="C74" s="365">
        <v>20</v>
      </c>
      <c r="D74" s="366">
        <v>50.396500000000003</v>
      </c>
      <c r="E74" s="366">
        <v>52.02</v>
      </c>
      <c r="F74" s="366">
        <f t="shared" si="1"/>
        <v>32.47</v>
      </c>
      <c r="G74" s="366">
        <f t="shared" si="2"/>
        <v>1007.9300000000001</v>
      </c>
      <c r="H74" s="367">
        <f t="shared" si="3"/>
        <v>3.22145387080452E-2</v>
      </c>
      <c r="I74" s="366"/>
    </row>
    <row r="75" spans="1:31" x14ac:dyDescent="0.25">
      <c r="B75" s="364">
        <v>42601</v>
      </c>
      <c r="C75" s="365">
        <v>20</v>
      </c>
      <c r="D75" s="366">
        <v>50.396500000000003</v>
      </c>
      <c r="E75" s="366">
        <v>52.95</v>
      </c>
      <c r="F75" s="366">
        <f t="shared" si="1"/>
        <v>51.069999999999993</v>
      </c>
      <c r="G75" s="366">
        <f t="shared" si="2"/>
        <v>1007.9300000000001</v>
      </c>
      <c r="H75" s="367">
        <f t="shared" si="3"/>
        <v>5.0668201164763414E-2</v>
      </c>
      <c r="I75" s="366"/>
    </row>
    <row r="76" spans="1:31" x14ac:dyDescent="0.25">
      <c r="B76" s="364">
        <v>42605</v>
      </c>
      <c r="C76" s="365">
        <v>20</v>
      </c>
      <c r="D76" s="366">
        <v>50.396500000000003</v>
      </c>
      <c r="E76" s="366">
        <v>53.6</v>
      </c>
      <c r="F76" s="366">
        <f t="shared" si="1"/>
        <v>64.069999999999965</v>
      </c>
      <c r="G76" s="366">
        <f t="shared" si="2"/>
        <v>1007.9300000000001</v>
      </c>
      <c r="H76" s="367">
        <f t="shared" si="3"/>
        <v>6.3565922236663228E-2</v>
      </c>
      <c r="I76" s="366"/>
    </row>
    <row r="77" spans="1:31" x14ac:dyDescent="0.25">
      <c r="B77" s="364">
        <v>42606</v>
      </c>
      <c r="C77" s="365">
        <v>20</v>
      </c>
      <c r="D77" s="366">
        <v>50.396500000000003</v>
      </c>
      <c r="E77" s="366">
        <v>53.98</v>
      </c>
      <c r="F77" s="366">
        <f t="shared" si="1"/>
        <v>71.669999999999874</v>
      </c>
      <c r="G77" s="366">
        <f t="shared" si="2"/>
        <v>1007.9300000000001</v>
      </c>
      <c r="H77" s="367">
        <f t="shared" si="3"/>
        <v>7.1106128401773799E-2</v>
      </c>
      <c r="I77" s="366"/>
    </row>
    <row r="78" spans="1:31" x14ac:dyDescent="0.25">
      <c r="B78" s="364">
        <v>42609</v>
      </c>
      <c r="C78" s="365">
        <v>20</v>
      </c>
      <c r="D78" s="366">
        <v>50.396500000000003</v>
      </c>
      <c r="E78" s="366">
        <v>55.31</v>
      </c>
      <c r="F78" s="366">
        <f t="shared" si="1"/>
        <v>98.269999999999982</v>
      </c>
      <c r="G78" s="366">
        <f t="shared" si="2"/>
        <v>1007.9300000000001</v>
      </c>
      <c r="H78" s="367">
        <f t="shared" si="3"/>
        <v>9.7496849979661265E-2</v>
      </c>
      <c r="I78" s="446"/>
    </row>
    <row r="79" spans="1:31" x14ac:dyDescent="0.25">
      <c r="B79" s="364">
        <v>42611</v>
      </c>
      <c r="C79" s="365">
        <v>0</v>
      </c>
      <c r="D79" s="366"/>
      <c r="E79" s="366"/>
      <c r="F79" s="366">
        <v>92.65</v>
      </c>
      <c r="G79" s="366"/>
      <c r="H79" s="367"/>
      <c r="I79" s="366"/>
    </row>
    <row r="80" spans="1:31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85" priority="23">
      <formula>F34&gt;0</formula>
    </cfRule>
    <cfRule type="expression" dxfId="2084" priority="24">
      <formula>F34&lt;0</formula>
    </cfRule>
  </conditionalFormatting>
  <conditionalFormatting sqref="Q7">
    <cfRule type="expression" dxfId="2083" priority="21">
      <formula>Q7&gt;0</formula>
    </cfRule>
    <cfRule type="expression" dxfId="2082" priority="22">
      <formula>Q7&lt;0</formula>
    </cfRule>
  </conditionalFormatting>
  <conditionalFormatting sqref="Q8">
    <cfRule type="expression" dxfId="2081" priority="19">
      <formula>Q8&gt;0</formula>
    </cfRule>
    <cfRule type="expression" dxfId="2080" priority="20">
      <formula>Q8&lt;0</formula>
    </cfRule>
  </conditionalFormatting>
  <conditionalFormatting sqref="F25:F33">
    <cfRule type="expression" dxfId="2079" priority="17">
      <formula>F25&gt;0</formula>
    </cfRule>
    <cfRule type="expression" dxfId="2078" priority="18">
      <formula>F25&lt;0</formula>
    </cfRule>
  </conditionalFormatting>
  <conditionalFormatting sqref="H25:H33">
    <cfRule type="expression" dxfId="2077" priority="15">
      <formula>H25&gt;0</formula>
    </cfRule>
    <cfRule type="expression" dxfId="2076" priority="16">
      <formula>H25&lt;0</formula>
    </cfRule>
  </conditionalFormatting>
  <conditionalFormatting sqref="M46">
    <cfRule type="expression" dxfId="2075" priority="13">
      <formula>M46&gt;0</formula>
    </cfRule>
    <cfRule type="expression" dxfId="2074" priority="14">
      <formula>M46&lt;0</formula>
    </cfRule>
  </conditionalFormatting>
  <conditionalFormatting sqref="F79:F87 H79:H87">
    <cfRule type="expression" dxfId="2073" priority="11">
      <formula>F79&gt;0</formula>
    </cfRule>
    <cfRule type="expression" dxfId="2072" priority="12">
      <formula>F79&lt;0</formula>
    </cfRule>
  </conditionalFormatting>
  <conditionalFormatting sqref="F70:F78">
    <cfRule type="expression" dxfId="2071" priority="9">
      <formula>F70&gt;0</formula>
    </cfRule>
    <cfRule type="expression" dxfId="2070" priority="10">
      <formula>F70&lt;0</formula>
    </cfRule>
  </conditionalFormatting>
  <conditionalFormatting sqref="H70:H78">
    <cfRule type="expression" dxfId="2069" priority="7">
      <formula>H70&gt;0</formula>
    </cfRule>
    <cfRule type="expression" dxfId="2068" priority="8">
      <formula>H70&lt;0</formula>
    </cfRule>
  </conditionalFormatting>
  <conditionalFormatting sqref="J27:K27 J30:K30 J33:K33 J36:K36 J39:K39 J42:K42">
    <cfRule type="expression" dxfId="2067" priority="5">
      <formula>J27&gt;0</formula>
    </cfRule>
    <cfRule type="expression" dxfId="2066" priority="6">
      <formula>J27&lt;0</formula>
    </cfRule>
  </conditionalFormatting>
  <conditionalFormatting sqref="J28:K29 J31:K32 J34:K35 J37:K38 J40:K41">
    <cfRule type="expression" dxfId="2065" priority="3">
      <formula>J28&gt;0</formula>
    </cfRule>
    <cfRule type="expression" dxfId="2064" priority="4">
      <formula>J28&lt;0</formula>
    </cfRule>
  </conditionalFormatting>
  <conditionalFormatting sqref="L27:L42">
    <cfRule type="expression" dxfId="2063" priority="1">
      <formula>L27&gt;0</formula>
    </cfRule>
    <cfRule type="expression" dxfId="206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78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1" t="s">
        <v>1</v>
      </c>
      <c r="B74" s="371" t="s">
        <v>2</v>
      </c>
      <c r="C74" s="371" t="s">
        <v>4</v>
      </c>
      <c r="D74" s="373" t="s">
        <v>5</v>
      </c>
      <c r="E74" s="373" t="s">
        <v>94</v>
      </c>
      <c r="F74" s="373" t="s">
        <v>60</v>
      </c>
      <c r="G74" s="371" t="s">
        <v>3</v>
      </c>
      <c r="H74" s="371" t="s">
        <v>6</v>
      </c>
      <c r="I74" s="373" t="s">
        <v>7</v>
      </c>
      <c r="J74" s="373" t="s">
        <v>95</v>
      </c>
      <c r="K74" s="373" t="s">
        <v>61</v>
      </c>
      <c r="L74" s="371" t="s">
        <v>37</v>
      </c>
      <c r="M74" s="371" t="s">
        <v>38</v>
      </c>
    </row>
    <row r="75" spans="1:31" x14ac:dyDescent="0.25">
      <c r="A75" s="374" t="s">
        <v>682</v>
      </c>
      <c r="B75" s="364">
        <v>42843</v>
      </c>
      <c r="C75" s="365">
        <v>100</v>
      </c>
      <c r="D75" s="366">
        <v>24.68</v>
      </c>
      <c r="E75" s="366">
        <v>0</v>
      </c>
      <c r="F75" s="366">
        <f>C75*D75+E75</f>
        <v>2468</v>
      </c>
      <c r="G75" s="364">
        <v>42874</v>
      </c>
      <c r="H75" s="366">
        <v>100</v>
      </c>
      <c r="I75" s="366">
        <v>27.71</v>
      </c>
      <c r="J75" s="366">
        <v>-0.26</v>
      </c>
      <c r="K75" s="366">
        <f>H75*I75-J75</f>
        <v>2771.26</v>
      </c>
      <c r="L75" s="364">
        <v>42880</v>
      </c>
      <c r="M75" s="366">
        <v>6</v>
      </c>
    </row>
    <row r="76" spans="1:31" x14ac:dyDescent="0.25">
      <c r="A76" s="375" t="s">
        <v>71</v>
      </c>
      <c r="B76" s="364"/>
      <c r="C76" s="365"/>
      <c r="D76" s="366"/>
      <c r="E76" s="366"/>
      <c r="F76" s="366"/>
      <c r="G76" s="364"/>
      <c r="H76" s="369"/>
      <c r="I76" s="366"/>
      <c r="J76" s="366"/>
      <c r="K76" s="366"/>
      <c r="L76" s="364"/>
      <c r="M76" s="366"/>
    </row>
    <row r="77" spans="1:31" x14ac:dyDescent="0.25">
      <c r="A77" s="365"/>
      <c r="B77" s="364"/>
      <c r="C77" s="365"/>
      <c r="D77" s="366"/>
      <c r="E77" s="366"/>
      <c r="F77" s="366"/>
      <c r="G77" s="364"/>
      <c r="H77" s="369"/>
      <c r="I77" s="366"/>
      <c r="J77" s="366"/>
      <c r="K77" s="366"/>
      <c r="L77" s="365"/>
      <c r="M77" s="365"/>
    </row>
    <row r="78" spans="1:31" x14ac:dyDescent="0.25">
      <c r="A78" s="365"/>
      <c r="B78" s="364"/>
      <c r="C78" s="365"/>
      <c r="D78" s="366"/>
      <c r="E78" s="366"/>
      <c r="F78" s="366"/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/>
      <c r="C79" s="365"/>
      <c r="D79" s="366"/>
      <c r="E79" s="366"/>
      <c r="F79" s="366"/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364"/>
      <c r="C80" s="365"/>
      <c r="D80" s="366"/>
      <c r="E80" s="366"/>
      <c r="F80" s="366"/>
      <c r="G80" s="365"/>
      <c r="H80" s="369"/>
      <c r="I80" s="366"/>
      <c r="J80" s="366"/>
      <c r="K80" s="366"/>
      <c r="L80" s="365"/>
      <c r="M80" s="365"/>
    </row>
    <row r="81" spans="1:13" x14ac:dyDescent="0.25">
      <c r="A81" s="365"/>
      <c r="B81" s="365"/>
      <c r="C81" s="365"/>
      <c r="D81" s="366"/>
      <c r="E81" s="366"/>
      <c r="F81" s="366"/>
      <c r="G81" s="365"/>
      <c r="H81" s="369"/>
      <c r="I81" s="366"/>
      <c r="J81" s="366"/>
      <c r="K81" s="366"/>
      <c r="L81" s="365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365"/>
      <c r="B85" s="365"/>
      <c r="C85" s="365"/>
      <c r="D85" s="366"/>
      <c r="E85" s="366"/>
      <c r="F85" s="366"/>
      <c r="G85" s="365"/>
      <c r="H85" s="369"/>
      <c r="I85" s="366"/>
      <c r="J85" s="366"/>
      <c r="K85" s="366"/>
      <c r="L85" s="365"/>
      <c r="M85" s="365"/>
    </row>
    <row r="86" spans="1:13" x14ac:dyDescent="0.25">
      <c r="A86" s="365"/>
      <c r="B86" s="365"/>
      <c r="C86" s="365"/>
      <c r="D86" s="366"/>
      <c r="E86" s="366"/>
      <c r="F86" s="366"/>
      <c r="G86" s="365"/>
      <c r="H86" s="369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9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9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9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61" priority="9">
      <formula>F57&gt;0</formula>
    </cfRule>
    <cfRule type="expression" dxfId="2060" priority="10">
      <formula>F57&lt;0</formula>
    </cfRule>
  </conditionalFormatting>
  <conditionalFormatting sqref="Q7">
    <cfRule type="expression" dxfId="2059" priority="7">
      <formula>Q7&gt;0</formula>
    </cfRule>
    <cfRule type="expression" dxfId="2058" priority="8">
      <formula>Q7&lt;0</formula>
    </cfRule>
  </conditionalFormatting>
  <conditionalFormatting sqref="Q8">
    <cfRule type="expression" dxfId="2057" priority="5">
      <formula>Q8&gt;0</formula>
    </cfRule>
    <cfRule type="expression" dxfId="2056" priority="6">
      <formula>Q8&lt;0</formula>
    </cfRule>
  </conditionalFormatting>
  <conditionalFormatting sqref="F25:F56">
    <cfRule type="expression" dxfId="2055" priority="3">
      <formula>F25&gt;0</formula>
    </cfRule>
    <cfRule type="expression" dxfId="2054" priority="4">
      <formula>F25&lt;0</formula>
    </cfRule>
  </conditionalFormatting>
  <conditionalFormatting sqref="H25:H56">
    <cfRule type="expression" dxfId="2053" priority="1">
      <formula>H25&gt;0</formula>
    </cfRule>
    <cfRule type="expression" dxfId="205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78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1" t="s">
        <v>1</v>
      </c>
      <c r="B59" s="371" t="s">
        <v>2</v>
      </c>
      <c r="C59" s="371" t="s">
        <v>4</v>
      </c>
      <c r="D59" s="373" t="s">
        <v>5</v>
      </c>
      <c r="E59" s="373" t="s">
        <v>94</v>
      </c>
      <c r="F59" s="373" t="s">
        <v>60</v>
      </c>
      <c r="G59" s="371" t="s">
        <v>3</v>
      </c>
      <c r="H59" s="371" t="s">
        <v>6</v>
      </c>
      <c r="I59" s="373" t="s">
        <v>7</v>
      </c>
      <c r="J59" s="373" t="s">
        <v>95</v>
      </c>
      <c r="K59" s="373" t="s">
        <v>61</v>
      </c>
      <c r="L59" s="371" t="s">
        <v>37</v>
      </c>
      <c r="M59" s="371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4" t="s">
        <v>276</v>
      </c>
      <c r="B60" s="364">
        <v>42626</v>
      </c>
      <c r="C60" s="365">
        <v>20</v>
      </c>
      <c r="D60" s="366">
        <v>90.85</v>
      </c>
      <c r="E60" s="366">
        <v>0</v>
      </c>
      <c r="F60" s="366">
        <f t="shared" ref="F60:F65" si="2">D60*C60 + E60</f>
        <v>1817</v>
      </c>
      <c r="G60" s="364">
        <v>42762</v>
      </c>
      <c r="H60" s="365">
        <v>40</v>
      </c>
      <c r="I60" s="366">
        <v>77.78</v>
      </c>
      <c r="J60" s="366">
        <v>7.0000000000000007E-2</v>
      </c>
      <c r="K60" s="366">
        <f>I60*H60 - J60</f>
        <v>3111.1299999999997</v>
      </c>
      <c r="L60" s="364">
        <v>42678</v>
      </c>
      <c r="M60" s="366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5" t="s">
        <v>71</v>
      </c>
      <c r="B61" s="364">
        <v>42646</v>
      </c>
      <c r="C61" s="365">
        <v>20</v>
      </c>
      <c r="D61" s="366">
        <v>87.56</v>
      </c>
      <c r="E61" s="366">
        <v>0</v>
      </c>
      <c r="F61" s="366">
        <f t="shared" si="2"/>
        <v>1751.2</v>
      </c>
      <c r="G61" s="364">
        <v>42788</v>
      </c>
      <c r="H61" s="369">
        <v>40</v>
      </c>
      <c r="I61" s="366">
        <v>80.38</v>
      </c>
      <c r="J61" s="366">
        <v>7.0000000000000007E-2</v>
      </c>
      <c r="K61" s="366">
        <f>I61*H61 - J61</f>
        <v>3215.1299999999997</v>
      </c>
      <c r="L61" s="364">
        <v>42769</v>
      </c>
      <c r="M61" s="366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5"/>
      <c r="B62" s="364">
        <v>42677</v>
      </c>
      <c r="C62" s="365">
        <v>40</v>
      </c>
      <c r="D62" s="366">
        <v>81.98</v>
      </c>
      <c r="E62" s="366">
        <v>0</v>
      </c>
      <c r="F62" s="366">
        <f t="shared" si="2"/>
        <v>3279.2000000000003</v>
      </c>
      <c r="G62" s="364">
        <v>42796</v>
      </c>
      <c r="H62" s="369">
        <v>80</v>
      </c>
      <c r="I62" s="366">
        <v>81.2</v>
      </c>
      <c r="J62" s="366">
        <v>0.14000000000000001</v>
      </c>
      <c r="K62" s="366">
        <f>I62*H62 - J62</f>
        <v>6495.86</v>
      </c>
      <c r="L62" s="364">
        <v>42856</v>
      </c>
      <c r="M62" s="36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5"/>
      <c r="B63" s="364">
        <v>42760</v>
      </c>
      <c r="C63" s="365">
        <v>20</v>
      </c>
      <c r="D63" s="366">
        <v>80.28</v>
      </c>
      <c r="E63" s="366">
        <v>0</v>
      </c>
      <c r="F63" s="366">
        <f t="shared" si="2"/>
        <v>1605.6</v>
      </c>
      <c r="G63" s="364">
        <v>42850</v>
      </c>
      <c r="H63" s="369">
        <v>60</v>
      </c>
      <c r="I63" s="366">
        <v>81.98</v>
      </c>
      <c r="J63" s="366">
        <v>0.11</v>
      </c>
      <c r="K63" s="366">
        <f>I63*H63 - J63</f>
        <v>4918.6900000000005</v>
      </c>
      <c r="L63" s="365"/>
      <c r="M63" s="36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5"/>
      <c r="B64" s="364">
        <v>42762</v>
      </c>
      <c r="C64" s="365">
        <v>80</v>
      </c>
      <c r="D64" s="366">
        <v>77.180000000000007</v>
      </c>
      <c r="E64" s="366">
        <v>0</v>
      </c>
      <c r="F64" s="366">
        <f t="shared" si="2"/>
        <v>6174.4000000000005</v>
      </c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5"/>
      <c r="B65" s="364">
        <v>42768</v>
      </c>
      <c r="C65" s="365">
        <v>40</v>
      </c>
      <c r="D65" s="366">
        <v>75.08</v>
      </c>
      <c r="E65" s="366">
        <v>0</v>
      </c>
      <c r="F65" s="366">
        <f t="shared" si="2"/>
        <v>3003.2</v>
      </c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9"/>
      <c r="I72" s="366"/>
      <c r="J72" s="366"/>
      <c r="K72" s="366"/>
      <c r="L72" s="365"/>
      <c r="M72" s="365"/>
    </row>
    <row r="73" spans="1:31" x14ac:dyDescent="0.25">
      <c r="A73" s="365"/>
      <c r="B73" s="365"/>
      <c r="C73" s="365"/>
      <c r="D73" s="366"/>
      <c r="E73" s="366"/>
      <c r="F73" s="366"/>
      <c r="G73" s="365"/>
      <c r="H73" s="369"/>
      <c r="I73" s="366"/>
      <c r="J73" s="366"/>
      <c r="K73" s="366"/>
      <c r="L73" s="365"/>
      <c r="M73" s="365"/>
    </row>
    <row r="74" spans="1:31" x14ac:dyDescent="0.25">
      <c r="A74" s="365"/>
      <c r="B74" s="365"/>
      <c r="C74" s="365"/>
      <c r="D74" s="366"/>
      <c r="E74" s="366"/>
      <c r="F74" s="366"/>
      <c r="G74" s="365"/>
      <c r="H74" s="369"/>
      <c r="I74" s="366"/>
      <c r="J74" s="366"/>
      <c r="K74" s="366"/>
      <c r="L74" s="365"/>
      <c r="M74" s="365"/>
    </row>
    <row r="75" spans="1:31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7" t="s">
        <v>194</v>
      </c>
      <c r="B77" s="448"/>
      <c r="C77" s="449">
        <f>SumByColor($A$19,C60:C75)</f>
        <v>0</v>
      </c>
      <c r="D77" s="449"/>
      <c r="E77" s="449"/>
      <c r="F77" s="450">
        <f>SumByColor($A$19,F60:F75)</f>
        <v>0</v>
      </c>
      <c r="G77" s="449"/>
      <c r="H77" s="449">
        <f>SumByColor($A$19,H60:H75)</f>
        <v>0</v>
      </c>
      <c r="I77" s="449"/>
      <c r="J77" s="449"/>
      <c r="K77" s="450">
        <f>SumByColor($A$19,K60:K75)</f>
        <v>0</v>
      </c>
      <c r="L77" s="449"/>
      <c r="M77" s="450">
        <f>SumByColor($A$19,M60:M75)</f>
        <v>0</v>
      </c>
    </row>
    <row r="78" spans="1:31" x14ac:dyDescent="0.25">
      <c r="A78" s="365"/>
      <c r="B78" s="365"/>
      <c r="C78" s="365"/>
      <c r="D78" s="366"/>
      <c r="E78" s="366"/>
      <c r="F78" s="366"/>
      <c r="G78" s="365"/>
      <c r="H78" s="365"/>
      <c r="I78" s="366"/>
      <c r="J78" s="366"/>
      <c r="K78" s="366"/>
      <c r="L78" s="365"/>
      <c r="M78" s="365"/>
    </row>
    <row r="82" spans="1:12" x14ac:dyDescent="0.25">
      <c r="A82" s="365"/>
      <c r="B82" s="365"/>
      <c r="C82" s="365"/>
      <c r="D82" s="366"/>
      <c r="E82" s="366"/>
      <c r="F82" s="366"/>
      <c r="G82" s="365"/>
      <c r="H82" s="365"/>
      <c r="I82" s="366"/>
      <c r="J82" s="366"/>
      <c r="K82" s="366"/>
      <c r="L82" s="365"/>
    </row>
    <row r="83" spans="1:12" x14ac:dyDescent="0.25">
      <c r="A83" s="365"/>
      <c r="B83" s="487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366"/>
      <c r="K83" s="366"/>
      <c r="L83" s="365"/>
    </row>
    <row r="84" spans="1:12" x14ac:dyDescent="0.25">
      <c r="A84" s="365"/>
      <c r="B84" s="364">
        <v>42626</v>
      </c>
      <c r="C84" s="365">
        <v>20</v>
      </c>
      <c r="D84" s="366">
        <v>90.85</v>
      </c>
      <c r="E84" s="366">
        <v>90.93</v>
      </c>
      <c r="F84" s="366">
        <f t="shared" ref="F84:F107" si="3">C84*(E84-D84)</f>
        <v>1.6000000000002501</v>
      </c>
      <c r="G84" s="366">
        <f t="shared" ref="G84:G107" si="4">D84*C84</f>
        <v>1817</v>
      </c>
      <c r="H84" s="367">
        <f t="shared" ref="H84:H107" si="5">(E84-D84)/D84</f>
        <v>8.8057237204196487E-4</v>
      </c>
      <c r="I84" s="366"/>
      <c r="J84" s="366"/>
      <c r="K84" s="366"/>
      <c r="L84" s="365"/>
    </row>
    <row r="85" spans="1:12" x14ac:dyDescent="0.25">
      <c r="A85" s="365"/>
      <c r="B85" s="364">
        <v>42627</v>
      </c>
      <c r="C85" s="365">
        <v>20</v>
      </c>
      <c r="D85" s="366">
        <v>90.85</v>
      </c>
      <c r="E85" s="366">
        <v>89.44</v>
      </c>
      <c r="F85" s="366">
        <f t="shared" si="3"/>
        <v>-28.199999999999932</v>
      </c>
      <c r="G85" s="366">
        <f t="shared" si="4"/>
        <v>1817</v>
      </c>
      <c r="H85" s="367">
        <f t="shared" si="5"/>
        <v>-1.5520088057237168E-2</v>
      </c>
      <c r="I85" s="366"/>
      <c r="J85" s="366"/>
      <c r="K85" s="366"/>
      <c r="L85" s="365"/>
    </row>
    <row r="86" spans="1:12" x14ac:dyDescent="0.25">
      <c r="A86" s="365"/>
      <c r="B86" s="364">
        <v>42640</v>
      </c>
      <c r="C86" s="365">
        <v>20</v>
      </c>
      <c r="D86" s="366">
        <v>90.85</v>
      </c>
      <c r="E86" s="366">
        <v>90.56</v>
      </c>
      <c r="F86" s="366">
        <f t="shared" si="3"/>
        <v>-5.7999999999998408</v>
      </c>
      <c r="G86" s="366">
        <f t="shared" si="4"/>
        <v>1817</v>
      </c>
      <c r="H86" s="367">
        <f t="shared" si="5"/>
        <v>-3.1920748486515362E-3</v>
      </c>
      <c r="I86" s="366"/>
      <c r="J86" s="366"/>
      <c r="K86" s="366"/>
      <c r="L86" s="365"/>
    </row>
    <row r="87" spans="1:12" x14ac:dyDescent="0.25">
      <c r="A87" s="365"/>
      <c r="B87" s="364">
        <v>42646</v>
      </c>
      <c r="C87" s="365">
        <v>40</v>
      </c>
      <c r="D87" s="366">
        <v>89.204999999999998</v>
      </c>
      <c r="E87" s="366">
        <v>87.09</v>
      </c>
      <c r="F87" s="366">
        <f t="shared" si="3"/>
        <v>-84.599999999999795</v>
      </c>
      <c r="G87" s="366">
        <f t="shared" si="4"/>
        <v>3568.2</v>
      </c>
      <c r="H87" s="367">
        <f t="shared" si="5"/>
        <v>-2.3709433327728211E-2</v>
      </c>
      <c r="I87" s="366"/>
      <c r="J87" s="366"/>
      <c r="K87" s="366"/>
      <c r="L87" s="365"/>
    </row>
    <row r="88" spans="1:12" x14ac:dyDescent="0.25">
      <c r="A88" s="365"/>
      <c r="B88" s="364">
        <v>42651</v>
      </c>
      <c r="C88" s="365">
        <v>40</v>
      </c>
      <c r="D88" s="366">
        <v>89.204999999999998</v>
      </c>
      <c r="E88" s="366">
        <v>86.4</v>
      </c>
      <c r="F88" s="366">
        <f t="shared" si="3"/>
        <v>-112.1999999999997</v>
      </c>
      <c r="G88" s="366">
        <f t="shared" si="4"/>
        <v>3568.2</v>
      </c>
      <c r="H88" s="367">
        <f t="shared" si="5"/>
        <v>-3.1444425760887761E-2</v>
      </c>
      <c r="I88" s="366"/>
      <c r="J88" s="366"/>
      <c r="K88" s="366"/>
      <c r="L88" s="365"/>
    </row>
    <row r="89" spans="1:12" x14ac:dyDescent="0.25">
      <c r="A89" s="365"/>
      <c r="B89" s="364">
        <v>42674</v>
      </c>
      <c r="C89" s="365">
        <v>40</v>
      </c>
      <c r="D89" s="366">
        <v>89.204999999999998</v>
      </c>
      <c r="E89" s="366">
        <v>84.1</v>
      </c>
      <c r="F89" s="366">
        <f t="shared" si="3"/>
        <v>-204.20000000000016</v>
      </c>
      <c r="G89" s="366">
        <f t="shared" si="4"/>
        <v>3568.2</v>
      </c>
      <c r="H89" s="367">
        <f t="shared" si="5"/>
        <v>-5.7227733871419807E-2</v>
      </c>
      <c r="I89" s="366"/>
      <c r="J89" s="366"/>
      <c r="K89" s="366"/>
      <c r="L89" s="365"/>
    </row>
    <row r="90" spans="1:12" x14ac:dyDescent="0.25">
      <c r="A90" s="365"/>
      <c r="B90" s="364">
        <v>42677</v>
      </c>
      <c r="C90" s="365">
        <v>80</v>
      </c>
      <c r="D90" s="366">
        <v>85.38</v>
      </c>
      <c r="E90" s="366">
        <v>81.569999999999993</v>
      </c>
      <c r="F90" s="366">
        <f t="shared" si="3"/>
        <v>-304.80000000000018</v>
      </c>
      <c r="G90" s="366">
        <f t="shared" si="4"/>
        <v>6830.4</v>
      </c>
      <c r="H90" s="367">
        <f t="shared" si="5"/>
        <v>-4.4624033731553089E-2</v>
      </c>
      <c r="I90" s="366" t="s">
        <v>185</v>
      </c>
      <c r="J90" s="366"/>
      <c r="K90" s="366"/>
      <c r="L90" s="365"/>
    </row>
    <row r="91" spans="1:12" x14ac:dyDescent="0.25">
      <c r="A91" s="365"/>
      <c r="B91" s="364">
        <v>42702</v>
      </c>
      <c r="C91" s="365">
        <v>80</v>
      </c>
      <c r="D91" s="366">
        <v>85.38</v>
      </c>
      <c r="E91" s="366">
        <v>74.06</v>
      </c>
      <c r="F91" s="366">
        <f t="shared" si="3"/>
        <v>-905.59999999999945</v>
      </c>
      <c r="G91" s="366">
        <f t="shared" si="4"/>
        <v>6830.4</v>
      </c>
      <c r="H91" s="367">
        <f t="shared" si="5"/>
        <v>-0.13258374326540165</v>
      </c>
      <c r="I91" s="366"/>
      <c r="J91" s="366"/>
      <c r="K91" s="366"/>
      <c r="L91" s="365"/>
    </row>
    <row r="92" spans="1:12" x14ac:dyDescent="0.25">
      <c r="A92" s="365"/>
      <c r="B92" s="364">
        <v>42704</v>
      </c>
      <c r="C92" s="365">
        <v>80</v>
      </c>
      <c r="D92" s="366">
        <v>85.38</v>
      </c>
      <c r="E92" s="366">
        <v>76.89</v>
      </c>
      <c r="F92" s="366">
        <f t="shared" si="3"/>
        <v>-679.19999999999959</v>
      </c>
      <c r="G92" s="366">
        <f t="shared" si="4"/>
        <v>6830.4</v>
      </c>
      <c r="H92" s="367">
        <f t="shared" si="5"/>
        <v>-9.9437807449051244E-2</v>
      </c>
      <c r="I92" s="366"/>
      <c r="J92" s="366"/>
      <c r="K92" s="366"/>
      <c r="L92" s="365"/>
    </row>
    <row r="93" spans="1:12" x14ac:dyDescent="0.25">
      <c r="A93" s="365"/>
      <c r="B93" s="364">
        <v>42729</v>
      </c>
      <c r="C93" s="365">
        <v>80</v>
      </c>
      <c r="D93" s="366">
        <v>85.38</v>
      </c>
      <c r="E93" s="366">
        <v>79.14</v>
      </c>
      <c r="F93" s="366">
        <f t="shared" si="3"/>
        <v>-499.19999999999959</v>
      </c>
      <c r="G93" s="366">
        <f t="shared" si="4"/>
        <v>6830.4</v>
      </c>
      <c r="H93" s="367">
        <f t="shared" si="5"/>
        <v>-7.3085031623330937E-2</v>
      </c>
      <c r="I93" s="366"/>
      <c r="J93" s="366"/>
      <c r="K93" s="366"/>
      <c r="L93" s="365"/>
    </row>
    <row r="94" spans="1:12" x14ac:dyDescent="0.25">
      <c r="A94" s="365"/>
      <c r="B94" s="364">
        <v>42745</v>
      </c>
      <c r="C94" s="365">
        <v>80</v>
      </c>
      <c r="D94" s="366">
        <v>85.38</v>
      </c>
      <c r="E94" s="366">
        <v>82.67</v>
      </c>
      <c r="F94" s="366">
        <f t="shared" si="3"/>
        <v>-216.7999999999995</v>
      </c>
      <c r="G94" s="366">
        <f t="shared" si="4"/>
        <v>6830.4</v>
      </c>
      <c r="H94" s="367">
        <f t="shared" si="5"/>
        <v>-3.1740454438978612E-2</v>
      </c>
      <c r="I94" s="366"/>
      <c r="J94" s="366"/>
      <c r="K94" s="366"/>
      <c r="L94" s="365"/>
    </row>
    <row r="95" spans="1:12" x14ac:dyDescent="0.25">
      <c r="A95" s="365"/>
      <c r="B95" s="364">
        <v>42756</v>
      </c>
      <c r="C95" s="365">
        <v>80</v>
      </c>
      <c r="D95" s="366">
        <v>85.38</v>
      </c>
      <c r="E95" s="366">
        <v>81.56</v>
      </c>
      <c r="F95" s="366">
        <f t="shared" si="3"/>
        <v>-305.59999999999945</v>
      </c>
      <c r="G95" s="366">
        <f t="shared" si="4"/>
        <v>6830.4</v>
      </c>
      <c r="H95" s="367">
        <f t="shared" si="5"/>
        <v>-4.4741157179667292E-2</v>
      </c>
      <c r="I95" s="366"/>
      <c r="J95" s="366"/>
      <c r="K95" s="366"/>
      <c r="L95" s="365"/>
    </row>
    <row r="96" spans="1:12" x14ac:dyDescent="0.25">
      <c r="A96" s="365"/>
      <c r="B96" s="364">
        <v>42760</v>
      </c>
      <c r="C96" s="365">
        <v>100</v>
      </c>
      <c r="D96" s="366">
        <v>84.36</v>
      </c>
      <c r="E96" s="366">
        <v>79.489999999999995</v>
      </c>
      <c r="F96" s="366">
        <f t="shared" si="3"/>
        <v>-487.00000000000045</v>
      </c>
      <c r="G96" s="366">
        <f t="shared" si="4"/>
        <v>8436</v>
      </c>
      <c r="H96" s="367">
        <f t="shared" si="5"/>
        <v>-5.7728781412991995E-2</v>
      </c>
      <c r="I96" s="366"/>
      <c r="J96" s="366"/>
      <c r="K96" s="366"/>
      <c r="L96" s="365"/>
    </row>
    <row r="97" spans="1:12" x14ac:dyDescent="0.25">
      <c r="A97" s="365"/>
      <c r="B97" s="364">
        <v>42762</v>
      </c>
      <c r="C97" s="365">
        <v>180</v>
      </c>
      <c r="D97" s="366">
        <v>81.169280000000001</v>
      </c>
      <c r="E97" s="366">
        <v>77.75</v>
      </c>
      <c r="F97" s="366">
        <f t="shared" si="3"/>
        <v>-615.47040000000015</v>
      </c>
      <c r="G97" s="366">
        <f t="shared" si="4"/>
        <v>14610.4704</v>
      </c>
      <c r="H97" s="367">
        <f t="shared" si="5"/>
        <v>-4.2125296663959574E-2</v>
      </c>
      <c r="I97" s="366"/>
      <c r="J97" s="366"/>
      <c r="K97" s="366"/>
      <c r="L97" s="365"/>
    </row>
    <row r="98" spans="1:12" x14ac:dyDescent="0.25">
      <c r="A98" s="365" t="s">
        <v>372</v>
      </c>
      <c r="B98" s="364">
        <v>42762</v>
      </c>
      <c r="C98" s="365">
        <v>140</v>
      </c>
      <c r="D98" s="366">
        <v>82.137640000000005</v>
      </c>
      <c r="E98" s="366">
        <v>77.75</v>
      </c>
      <c r="F98" s="366">
        <f t="shared" si="3"/>
        <v>-614.26960000000065</v>
      </c>
      <c r="G98" s="366">
        <f t="shared" si="4"/>
        <v>11499.269600000001</v>
      </c>
      <c r="H98" s="367">
        <f t="shared" si="5"/>
        <v>-5.3418140574771865E-2</v>
      </c>
      <c r="I98" s="366"/>
      <c r="J98" s="366"/>
      <c r="K98" s="366"/>
      <c r="L98" s="365"/>
    </row>
    <row r="99" spans="1:12" x14ac:dyDescent="0.25">
      <c r="A99" s="365" t="s">
        <v>388</v>
      </c>
      <c r="B99" s="364">
        <v>42768</v>
      </c>
      <c r="C99" s="365">
        <v>180</v>
      </c>
      <c r="D99" s="366">
        <v>80.347059999999999</v>
      </c>
      <c r="E99" s="366">
        <v>74.8</v>
      </c>
      <c r="F99" s="366">
        <f t="shared" si="3"/>
        <v>-998.47080000000028</v>
      </c>
      <c r="G99" s="366">
        <f t="shared" si="4"/>
        <v>14462.470799999999</v>
      </c>
      <c r="H99" s="367">
        <f t="shared" si="5"/>
        <v>-6.903874267459198E-2</v>
      </c>
      <c r="I99" s="366" t="s">
        <v>185</v>
      </c>
      <c r="J99" s="366"/>
      <c r="K99" s="366"/>
      <c r="L99" s="365"/>
    </row>
    <row r="100" spans="1:12" x14ac:dyDescent="0.25">
      <c r="A100" s="365" t="s">
        <v>388</v>
      </c>
      <c r="B100" s="364">
        <v>42778</v>
      </c>
      <c r="C100" s="365">
        <v>180</v>
      </c>
      <c r="D100" s="366">
        <v>80.347059999999999</v>
      </c>
      <c r="E100" s="366">
        <v>78.53</v>
      </c>
      <c r="F100" s="366">
        <f t="shared" si="3"/>
        <v>-327.07079999999962</v>
      </c>
      <c r="G100" s="366">
        <f t="shared" si="4"/>
        <v>14462.470799999999</v>
      </c>
      <c r="H100" s="367">
        <f t="shared" si="5"/>
        <v>-2.2615139869461284E-2</v>
      </c>
      <c r="I100" s="366"/>
      <c r="J100" s="366"/>
      <c r="K100" s="366"/>
      <c r="L100" s="365"/>
    </row>
    <row r="101" spans="1:12" x14ac:dyDescent="0.25">
      <c r="A101" s="365" t="s">
        <v>443</v>
      </c>
      <c r="B101" s="364">
        <v>42787</v>
      </c>
      <c r="C101" s="365">
        <v>180</v>
      </c>
      <c r="D101" s="366">
        <v>80.346999999999994</v>
      </c>
      <c r="E101" s="366">
        <v>79.760000000000005</v>
      </c>
      <c r="F101" s="366">
        <f t="shared" si="3"/>
        <v>-105.65999999999804</v>
      </c>
      <c r="G101" s="366">
        <f t="shared" si="4"/>
        <v>14462.46</v>
      </c>
      <c r="H101" s="367">
        <f t="shared" si="5"/>
        <v>-7.3058110445939376E-3</v>
      </c>
      <c r="I101" s="366"/>
      <c r="J101" s="366"/>
      <c r="K101" s="366"/>
      <c r="L101" s="365"/>
    </row>
    <row r="102" spans="1:12" x14ac:dyDescent="0.25">
      <c r="A102" s="365" t="s">
        <v>445</v>
      </c>
      <c r="B102" s="364">
        <v>42788</v>
      </c>
      <c r="C102" s="365">
        <v>140</v>
      </c>
      <c r="D102" s="366">
        <v>80.338139999999996</v>
      </c>
      <c r="E102" s="366">
        <v>80.16</v>
      </c>
      <c r="F102" s="366">
        <f t="shared" si="3"/>
        <v>-24.939599999999871</v>
      </c>
      <c r="G102" s="366">
        <f t="shared" si="4"/>
        <v>11247.339599999999</v>
      </c>
      <c r="H102" s="367">
        <f t="shared" si="5"/>
        <v>-2.2173776988115368E-3</v>
      </c>
      <c r="I102" s="366"/>
      <c r="J102" s="366"/>
      <c r="K102" s="366"/>
      <c r="L102" s="365"/>
    </row>
    <row r="103" spans="1:12" x14ac:dyDescent="0.25">
      <c r="A103" s="365" t="s">
        <v>445</v>
      </c>
      <c r="B103" s="364">
        <v>42790</v>
      </c>
      <c r="C103" s="365">
        <v>140</v>
      </c>
      <c r="D103" s="366">
        <v>80.338139999999996</v>
      </c>
      <c r="E103" s="366">
        <v>81.48</v>
      </c>
      <c r="F103" s="366">
        <f t="shared" si="3"/>
        <v>159.86040000000116</v>
      </c>
      <c r="G103" s="366">
        <f t="shared" si="4"/>
        <v>11247.339599999999</v>
      </c>
      <c r="H103" s="367">
        <f t="shared" si="5"/>
        <v>1.4213174464830881E-2</v>
      </c>
      <c r="I103" s="366"/>
      <c r="J103" s="366"/>
      <c r="K103" s="366"/>
      <c r="L103" s="365"/>
    </row>
    <row r="104" spans="1:12" x14ac:dyDescent="0.25">
      <c r="A104" s="365" t="s">
        <v>474</v>
      </c>
      <c r="B104" s="364">
        <v>42796</v>
      </c>
      <c r="C104" s="365">
        <v>60</v>
      </c>
      <c r="D104" s="366">
        <v>79.191299999999998</v>
      </c>
      <c r="E104" s="366">
        <v>81.349999999999994</v>
      </c>
      <c r="F104" s="366">
        <f t="shared" si="3"/>
        <v>129.52199999999976</v>
      </c>
      <c r="G104" s="366">
        <f t="shared" si="4"/>
        <v>4751.4780000000001</v>
      </c>
      <c r="H104" s="367">
        <f t="shared" si="5"/>
        <v>2.7259307524942718E-2</v>
      </c>
      <c r="I104" s="366"/>
      <c r="J104" s="366"/>
      <c r="K104" s="366"/>
      <c r="L104" s="365"/>
    </row>
    <row r="105" spans="1:12" x14ac:dyDescent="0.25">
      <c r="A105" s="365">
        <v>60</v>
      </c>
      <c r="B105" s="364">
        <v>42809</v>
      </c>
      <c r="C105" s="365">
        <v>60</v>
      </c>
      <c r="D105" s="366">
        <v>79.191299999999998</v>
      </c>
      <c r="E105" s="366">
        <v>79.73</v>
      </c>
      <c r="F105" s="366">
        <f t="shared" si="3"/>
        <v>32.322000000000344</v>
      </c>
      <c r="G105" s="366">
        <f t="shared" si="4"/>
        <v>4751.4780000000001</v>
      </c>
      <c r="H105" s="367">
        <f t="shared" si="5"/>
        <v>6.8025149227251697E-3</v>
      </c>
      <c r="I105" s="366"/>
      <c r="J105" s="366"/>
      <c r="K105" s="366"/>
      <c r="L105" s="365"/>
    </row>
    <row r="106" spans="1:12" x14ac:dyDescent="0.25">
      <c r="A106" s="365">
        <v>60</v>
      </c>
      <c r="B106" s="364">
        <v>42818</v>
      </c>
      <c r="C106" s="365">
        <v>60</v>
      </c>
      <c r="D106" s="366">
        <v>79.191299999999998</v>
      </c>
      <c r="E106" s="366">
        <v>78.489999999999995</v>
      </c>
      <c r="F106" s="366">
        <f t="shared" si="3"/>
        <v>-42.078000000000202</v>
      </c>
      <c r="G106" s="366">
        <f t="shared" si="4"/>
        <v>4751.4780000000001</v>
      </c>
      <c r="H106" s="367">
        <f t="shared" si="5"/>
        <v>-8.8557707727995802E-3</v>
      </c>
      <c r="I106" s="366"/>
      <c r="J106" s="366"/>
      <c r="K106" s="366"/>
      <c r="L106" s="365"/>
    </row>
    <row r="107" spans="1:12" x14ac:dyDescent="0.25">
      <c r="A107" s="365">
        <v>60</v>
      </c>
      <c r="B107" s="364">
        <v>42841</v>
      </c>
      <c r="C107" s="365">
        <v>60</v>
      </c>
      <c r="D107" s="366">
        <v>79.19</v>
      </c>
      <c r="E107" s="366">
        <v>77.959999999999994</v>
      </c>
      <c r="F107" s="366">
        <f t="shared" si="3"/>
        <v>-73.800000000000239</v>
      </c>
      <c r="G107" s="366">
        <f t="shared" si="4"/>
        <v>4751.3999999999996</v>
      </c>
      <c r="H107" s="367">
        <f t="shared" si="5"/>
        <v>-1.5532264174769592E-2</v>
      </c>
      <c r="I107" s="366"/>
      <c r="J107" s="366"/>
      <c r="K107" s="366"/>
      <c r="L107" s="365"/>
    </row>
    <row r="108" spans="1:12" x14ac:dyDescent="0.25">
      <c r="A108" s="365">
        <v>0</v>
      </c>
      <c r="B108" s="364">
        <v>42850</v>
      </c>
      <c r="C108" s="365">
        <v>0</v>
      </c>
      <c r="D108" s="366"/>
      <c r="E108" s="366">
        <v>82.17</v>
      </c>
      <c r="F108" s="366">
        <v>167.21</v>
      </c>
      <c r="G108" s="366"/>
      <c r="H108" s="367"/>
      <c r="I108" s="366"/>
      <c r="J108" s="366"/>
      <c r="K108" s="366"/>
      <c r="L108" s="365"/>
    </row>
    <row r="109" spans="1:12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</row>
    <row r="110" spans="1:12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</row>
    <row r="111" spans="1:12" x14ac:dyDescent="0.25">
      <c r="A111" s="365"/>
      <c r="B111" s="364"/>
      <c r="C111" s="365"/>
      <c r="D111" s="366"/>
      <c r="E111" s="366"/>
      <c r="F111" s="366"/>
      <c r="G111" s="366"/>
      <c r="H111" s="367"/>
      <c r="I111" s="366"/>
      <c r="J111" s="366"/>
      <c r="K111" s="366"/>
      <c r="L111" s="365"/>
    </row>
    <row r="112" spans="1:12" x14ac:dyDescent="0.25">
      <c r="A112" s="365"/>
      <c r="B112" s="364"/>
      <c r="C112" s="365"/>
      <c r="D112" s="366"/>
      <c r="E112" s="366"/>
      <c r="F112" s="366"/>
      <c r="G112" s="366"/>
      <c r="H112" s="367"/>
      <c r="I112" s="366"/>
      <c r="J112" s="366"/>
      <c r="K112" s="366"/>
      <c r="L112" s="365"/>
    </row>
    <row r="113" spans="1:12" x14ac:dyDescent="0.25">
      <c r="A113" s="365"/>
      <c r="B113" s="364"/>
      <c r="C113" s="365"/>
      <c r="D113" s="366"/>
      <c r="E113" s="366"/>
      <c r="F113" s="366"/>
      <c r="G113" s="366"/>
      <c r="H113" s="367"/>
      <c r="I113" s="366"/>
      <c r="J113" s="366"/>
      <c r="K113" s="366"/>
      <c r="L113" s="365"/>
    </row>
    <row r="114" spans="1:12" x14ac:dyDescent="0.25">
      <c r="A114" s="365"/>
      <c r="B114" s="364"/>
      <c r="C114" s="365"/>
      <c r="D114" s="366"/>
      <c r="E114" s="366"/>
      <c r="F114" s="366"/>
      <c r="G114" s="366"/>
      <c r="H114" s="367"/>
      <c r="I114" s="366"/>
      <c r="J114" s="366"/>
      <c r="K114" s="366"/>
      <c r="L114" s="365"/>
    </row>
    <row r="115" spans="1:12" x14ac:dyDescent="0.25">
      <c r="A115" s="365"/>
      <c r="B115" s="364"/>
      <c r="C115" s="365"/>
      <c r="D115" s="366"/>
      <c r="E115" s="366"/>
      <c r="F115" s="366"/>
      <c r="G115" s="366"/>
      <c r="H115" s="367"/>
      <c r="I115" s="366"/>
      <c r="J115" s="366"/>
      <c r="K115" s="366"/>
      <c r="L115" s="36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51" priority="15">
      <formula>F57&gt;0</formula>
    </cfRule>
    <cfRule type="expression" dxfId="2050" priority="16">
      <formula>F57&lt;0</formula>
    </cfRule>
  </conditionalFormatting>
  <conditionalFormatting sqref="Q7">
    <cfRule type="expression" dxfId="2049" priority="13">
      <formula>Q7&gt;0</formula>
    </cfRule>
    <cfRule type="expression" dxfId="2048" priority="14">
      <formula>Q7&lt;0</formula>
    </cfRule>
  </conditionalFormatting>
  <conditionalFormatting sqref="Q8">
    <cfRule type="expression" dxfId="2047" priority="11">
      <formula>Q8&gt;0</formula>
    </cfRule>
    <cfRule type="expression" dxfId="2046" priority="12">
      <formula>Q8&lt;0</formula>
    </cfRule>
  </conditionalFormatting>
  <conditionalFormatting sqref="F25:F56">
    <cfRule type="expression" dxfId="2045" priority="9">
      <formula>F25&gt;0</formula>
    </cfRule>
    <cfRule type="expression" dxfId="2044" priority="10">
      <formula>F25&lt;0</formula>
    </cfRule>
  </conditionalFormatting>
  <conditionalFormatting sqref="H25:H56">
    <cfRule type="expression" dxfId="2043" priority="7">
      <formula>H25&gt;0</formula>
    </cfRule>
    <cfRule type="expression" dxfId="2042" priority="8">
      <formula>H25&lt;0</formula>
    </cfRule>
  </conditionalFormatting>
  <conditionalFormatting sqref="M58">
    <cfRule type="expression" dxfId="2041" priority="5">
      <formula>M58&gt;0</formula>
    </cfRule>
    <cfRule type="expression" dxfId="2040" priority="6">
      <formula>M58&lt;0</formula>
    </cfRule>
  </conditionalFormatting>
  <conditionalFormatting sqref="F84:F115">
    <cfRule type="expression" dxfId="2039" priority="3">
      <formula>F84&gt;0</formula>
    </cfRule>
    <cfRule type="expression" dxfId="2038" priority="4">
      <formula>F84&lt;0</formula>
    </cfRule>
  </conditionalFormatting>
  <conditionalFormatting sqref="H84:H115">
    <cfRule type="expression" dxfId="2037" priority="1">
      <formula>H84&gt;0</formula>
    </cfRule>
    <cfRule type="expression" dxfId="203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498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30</v>
      </c>
      <c r="D84" s="521"/>
      <c r="E84" s="521"/>
      <c r="F84" s="521">
        <f>SUM(F68:F72)</f>
        <v>4475.0999999999995</v>
      </c>
      <c r="G84" s="520"/>
      <c r="H84" s="542">
        <f>SUM(H68:H71)</f>
        <v>30</v>
      </c>
      <c r="I84" s="521"/>
      <c r="J84" s="521"/>
      <c r="K84" s="521">
        <f>SUM(K68:K71)</f>
        <v>5318.28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5" priority="21">
      <formula>F47&gt;0</formula>
    </cfRule>
    <cfRule type="expression" dxfId="2034" priority="22">
      <formula>F47&lt;0</formula>
    </cfRule>
  </conditionalFormatting>
  <conditionalFormatting sqref="Q7">
    <cfRule type="expression" dxfId="2033" priority="19">
      <formula>Q7&gt;0</formula>
    </cfRule>
    <cfRule type="expression" dxfId="2032" priority="20">
      <formula>Q7&lt;0</formula>
    </cfRule>
  </conditionalFormatting>
  <conditionalFormatting sqref="Q8">
    <cfRule type="expression" dxfId="2031" priority="17">
      <formula>Q8&gt;0</formula>
    </cfRule>
    <cfRule type="expression" dxfId="2030" priority="18">
      <formula>Q8&lt;0</formula>
    </cfRule>
  </conditionalFormatting>
  <conditionalFormatting sqref="F25:F46">
    <cfRule type="expression" dxfId="2029" priority="15">
      <formula>F25&gt;0</formula>
    </cfRule>
    <cfRule type="expression" dxfId="2028" priority="16">
      <formula>F25&lt;0</formula>
    </cfRule>
  </conditionalFormatting>
  <conditionalFormatting sqref="H25:H46">
    <cfRule type="expression" dxfId="2027" priority="13">
      <formula>H25&gt;0</formula>
    </cfRule>
    <cfRule type="expression" dxfId="2026" priority="14">
      <formula>H25&lt;0</formula>
    </cfRule>
  </conditionalFormatting>
  <conditionalFormatting sqref="F89:F110">
    <cfRule type="expression" dxfId="2025" priority="11">
      <formula>F89&gt;0</formula>
    </cfRule>
    <cfRule type="expression" dxfId="2024" priority="12">
      <formula>F89&lt;0</formula>
    </cfRule>
  </conditionalFormatting>
  <conditionalFormatting sqref="H89:H110">
    <cfRule type="expression" dxfId="2023" priority="9">
      <formula>H89&gt;0</formula>
    </cfRule>
    <cfRule type="expression" dxfId="2022" priority="10">
      <formula>H89&lt;0</formula>
    </cfRule>
  </conditionalFormatting>
  <conditionalFormatting sqref="Q10">
    <cfRule type="expression" dxfId="2021" priority="7">
      <formula>Q10&gt;0</formula>
    </cfRule>
    <cfRule type="expression" dxfId="2020" priority="8">
      <formula>Q10&lt;0</formula>
    </cfRule>
  </conditionalFormatting>
  <conditionalFormatting sqref="J25:J38">
    <cfRule type="expression" dxfId="2019" priority="5">
      <formula>J25&gt;0</formula>
    </cfRule>
    <cfRule type="expression" dxfId="2018" priority="6">
      <formula>J25&lt;0</formula>
    </cfRule>
  </conditionalFormatting>
  <conditionalFormatting sqref="K25:K38">
    <cfRule type="expression" dxfId="2017" priority="3">
      <formula>K25&gt;0</formula>
    </cfRule>
    <cfRule type="expression" dxfId="2016" priority="4">
      <formula>K25&lt;0</formula>
    </cfRule>
  </conditionalFormatting>
  <conditionalFormatting sqref="L25:L38">
    <cfRule type="expression" dxfId="2015" priority="1">
      <formula>L25&gt;0</formula>
    </cfRule>
    <cfRule type="expression" dxfId="201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79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28">
        <f>C81-H81</f>
        <v>4000</v>
      </c>
      <c r="Y2" s="62">
        <v>42804</v>
      </c>
      <c r="Z2" s="848" t="s">
        <v>686</v>
      </c>
      <c r="AA2" s="848"/>
      <c r="AB2" s="848"/>
    </row>
    <row r="3" spans="1:32" x14ac:dyDescent="0.25">
      <c r="A3" s="22" t="s">
        <v>71</v>
      </c>
      <c r="B3" s="479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9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4">
        <f>IF(Q2=0, Q4, (F81-K81-M81)/Q2)</f>
        <v>14.845222499999974</v>
      </c>
      <c r="Y3" s="62">
        <v>42866</v>
      </c>
      <c r="Z3" s="848" t="s">
        <v>687</v>
      </c>
      <c r="AA3" s="848"/>
      <c r="AB3" s="848"/>
      <c r="AC3" s="228"/>
      <c r="AF3" s="228"/>
    </row>
    <row r="4" spans="1:32" ht="15" customHeight="1" x14ac:dyDescent="0.25">
      <c r="B4" s="479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18.16</v>
      </c>
      <c r="R4" s="478">
        <v>3.0099999999999998E-2</v>
      </c>
      <c r="Y4" s="62">
        <v>43088</v>
      </c>
      <c r="Z4" s="743" t="s">
        <v>795</v>
      </c>
      <c r="AC4" s="228"/>
      <c r="AF4" s="228"/>
    </row>
    <row r="5" spans="1:32" x14ac:dyDescent="0.25">
      <c r="B5" s="47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746</v>
      </c>
      <c r="O5" s="11" t="s">
        <v>67</v>
      </c>
      <c r="Q5" s="3">
        <f>Q4*Q2</f>
        <v>72640</v>
      </c>
      <c r="Y5" s="62">
        <v>43096</v>
      </c>
      <c r="Z5" s="743" t="s">
        <v>800</v>
      </c>
    </row>
    <row r="6" spans="1:32" x14ac:dyDescent="0.25">
      <c r="B6" s="479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59380.889999999898</v>
      </c>
      <c r="Y6" s="62">
        <v>43103</v>
      </c>
      <c r="Z6" s="743" t="s">
        <v>851</v>
      </c>
    </row>
    <row r="7" spans="1:32" x14ac:dyDescent="0.25">
      <c r="B7" s="479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27874.681000001729</v>
      </c>
      <c r="R7">
        <v>2000</v>
      </c>
      <c r="U7" s="178"/>
      <c r="Y7" s="62"/>
      <c r="Z7" s="743" t="s">
        <v>852</v>
      </c>
    </row>
    <row r="8" spans="1:32" x14ac:dyDescent="0.25">
      <c r="A8" s="611"/>
      <c r="B8" s="479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13259.110000000102</v>
      </c>
      <c r="Y8" s="62"/>
    </row>
    <row r="9" spans="1:32" x14ac:dyDescent="0.25">
      <c r="A9" s="611"/>
      <c r="B9" s="479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0.22328917602952947</v>
      </c>
      <c r="Y9" s="62">
        <v>43106</v>
      </c>
      <c r="Z9" s="754" t="s">
        <v>873</v>
      </c>
    </row>
    <row r="10" spans="1:32" ht="15" customHeight="1" x14ac:dyDescent="0.25">
      <c r="A10" s="611"/>
      <c r="B10" s="479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1"/>
      <c r="B11" s="479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1.1013215859030838E-2</v>
      </c>
      <c r="R11">
        <f>0.05</f>
        <v>0.05</v>
      </c>
      <c r="Y11" s="62">
        <v>43117</v>
      </c>
      <c r="Z11" s="743" t="s">
        <v>911</v>
      </c>
    </row>
    <row r="12" spans="1:32" x14ac:dyDescent="0.25">
      <c r="A12" s="611"/>
      <c r="B12" s="479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968</v>
      </c>
      <c r="Q12" s="1" t="s">
        <v>1019</v>
      </c>
      <c r="Y12" s="62"/>
    </row>
    <row r="13" spans="1:32" x14ac:dyDescent="0.25">
      <c r="A13" s="611"/>
      <c r="B13" s="479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3" t="s">
        <v>917</v>
      </c>
    </row>
    <row r="14" spans="1:32" x14ac:dyDescent="0.25">
      <c r="A14" s="611"/>
      <c r="B14" s="479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3" t="s">
        <v>113</v>
      </c>
      <c r="P14" s="683" t="s">
        <v>699</v>
      </c>
      <c r="Q14" s="683" t="s">
        <v>700</v>
      </c>
      <c r="R14" s="681" t="s">
        <v>693</v>
      </c>
      <c r="S14" s="681" t="s">
        <v>694</v>
      </c>
      <c r="T14" s="683" t="s">
        <v>696</v>
      </c>
      <c r="U14" s="683" t="s">
        <v>697</v>
      </c>
      <c r="V14" s="681" t="s">
        <v>695</v>
      </c>
      <c r="W14" s="682" t="s">
        <v>698</v>
      </c>
      <c r="Y14" s="62"/>
      <c r="Z14" s="743" t="s">
        <v>920</v>
      </c>
    </row>
    <row r="15" spans="1:32" x14ac:dyDescent="0.25">
      <c r="B15" s="479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4">
        <v>42949</v>
      </c>
      <c r="P15" s="680" t="s">
        <v>701</v>
      </c>
      <c r="Q15" s="680"/>
      <c r="R15" s="679">
        <v>-0.15</v>
      </c>
      <c r="S15" s="679">
        <v>-0.24</v>
      </c>
      <c r="T15" s="680">
        <v>1.02</v>
      </c>
      <c r="U15" s="680">
        <v>1.04</v>
      </c>
      <c r="V15" s="677"/>
      <c r="W15" s="678"/>
      <c r="Y15" s="62"/>
    </row>
    <row r="16" spans="1:32" x14ac:dyDescent="0.25">
      <c r="B16" s="479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3">
        <v>43040</v>
      </c>
      <c r="P16" s="680" t="s">
        <v>702</v>
      </c>
      <c r="Q16" s="680" t="s">
        <v>692</v>
      </c>
      <c r="R16" s="679">
        <v>-0.14599999999999999</v>
      </c>
      <c r="S16" s="677">
        <v>-0.08</v>
      </c>
      <c r="T16" s="680">
        <v>1.05</v>
      </c>
      <c r="U16" s="680">
        <v>1.25</v>
      </c>
      <c r="V16" s="677"/>
      <c r="W16" s="678"/>
      <c r="Y16" s="62">
        <v>43131</v>
      </c>
      <c r="Z16" s="743" t="s">
        <v>919</v>
      </c>
    </row>
    <row r="17" spans="2:26" x14ac:dyDescent="0.25">
      <c r="B17" s="479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85"/>
      <c r="P17" s="680"/>
      <c r="Q17" s="680"/>
      <c r="R17" s="677"/>
      <c r="S17" s="677"/>
      <c r="T17" s="680"/>
      <c r="U17" s="680"/>
      <c r="V17" s="677"/>
      <c r="W17" s="678"/>
      <c r="Y17" s="798">
        <v>43136</v>
      </c>
      <c r="Z17" s="743" t="s">
        <v>918</v>
      </c>
    </row>
    <row r="18" spans="2:26" x14ac:dyDescent="0.25">
      <c r="B18" s="479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85"/>
      <c r="P18" s="680"/>
      <c r="Q18" s="680"/>
      <c r="R18" s="677"/>
      <c r="S18" s="677"/>
      <c r="T18" s="680"/>
      <c r="U18" s="680"/>
      <c r="V18" s="677"/>
      <c r="W18" s="678"/>
      <c r="Y18" s="799"/>
    </row>
    <row r="19" spans="2:26" x14ac:dyDescent="0.25">
      <c r="B19" s="479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85"/>
      <c r="P19" s="680"/>
      <c r="Q19" s="680"/>
      <c r="R19" s="677"/>
      <c r="S19" s="677"/>
      <c r="T19" s="680"/>
      <c r="U19" s="680"/>
      <c r="V19" s="677"/>
      <c r="W19" s="678"/>
      <c r="Y19" s="798">
        <v>43139</v>
      </c>
      <c r="Z19" s="743" t="s">
        <v>946</v>
      </c>
    </row>
    <row r="20" spans="2:26" x14ac:dyDescent="0.25">
      <c r="B20" s="47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85"/>
      <c r="P20" s="680"/>
      <c r="Q20" s="680"/>
      <c r="R20" s="677"/>
      <c r="S20" s="677"/>
      <c r="T20" s="680"/>
      <c r="U20" s="680"/>
      <c r="V20" s="677"/>
      <c r="W20" s="678"/>
      <c r="Y20" s="798"/>
    </row>
    <row r="21" spans="2:26" x14ac:dyDescent="0.25">
      <c r="B21" s="479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85"/>
      <c r="P21" s="680"/>
      <c r="Q21" s="680"/>
      <c r="R21" s="677"/>
      <c r="S21" s="677"/>
      <c r="T21" s="680"/>
      <c r="U21" s="680"/>
      <c r="V21" s="677"/>
      <c r="W21" s="678"/>
      <c r="Y21" s="799"/>
    </row>
    <row r="22" spans="2:26" x14ac:dyDescent="0.25">
      <c r="B22" s="47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85"/>
      <c r="P22" s="680"/>
      <c r="Q22" s="680"/>
      <c r="R22" s="677"/>
      <c r="S22" s="677"/>
      <c r="T22" s="680"/>
      <c r="U22" s="680"/>
      <c r="V22" s="677"/>
      <c r="W22" s="678"/>
      <c r="Y22" s="798">
        <v>43145</v>
      </c>
      <c r="Z22" s="743" t="s">
        <v>82</v>
      </c>
    </row>
    <row r="23" spans="2:26" x14ac:dyDescent="0.25">
      <c r="B23" s="47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85"/>
      <c r="P23" s="680"/>
      <c r="Q23" s="680"/>
      <c r="R23" s="677"/>
      <c r="S23" s="677"/>
      <c r="T23" s="680"/>
      <c r="U23" s="680"/>
      <c r="V23" s="677"/>
      <c r="W23" s="678"/>
      <c r="Z23" s="743" t="s">
        <v>969</v>
      </c>
    </row>
    <row r="24" spans="2:26" x14ac:dyDescent="0.25">
      <c r="B24" s="479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2:26" x14ac:dyDescent="0.25">
      <c r="B25" s="47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85"/>
      <c r="P25" s="680"/>
      <c r="Q25" s="680"/>
      <c r="R25" s="677"/>
      <c r="S25" s="677"/>
      <c r="T25" s="680"/>
      <c r="U25" s="680"/>
      <c r="V25" s="677"/>
      <c r="W25" s="678"/>
      <c r="Y25" s="1">
        <v>43161</v>
      </c>
      <c r="Z25" s="743" t="s">
        <v>970</v>
      </c>
    </row>
    <row r="26" spans="2:26" ht="15" customHeight="1" x14ac:dyDescent="0.25">
      <c r="B26" s="47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7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9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7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9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7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9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7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9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7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9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7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9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7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9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7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9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7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9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7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9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7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9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7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9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7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9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7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9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7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9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47" t="s">
        <v>78</v>
      </c>
      <c r="P41" s="847"/>
    </row>
    <row r="42" spans="1:16" ht="15.75" thickTop="1" x14ac:dyDescent="0.25">
      <c r="B42" s="47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9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22.155200000000001</v>
      </c>
    </row>
    <row r="43" spans="1:16" x14ac:dyDescent="0.25">
      <c r="A43" s="2"/>
      <c r="B43" s="47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9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21.973600000000001</v>
      </c>
    </row>
    <row r="44" spans="1:16" x14ac:dyDescent="0.25">
      <c r="B44" s="47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9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21.791999999999998</v>
      </c>
    </row>
    <row r="45" spans="1:16" x14ac:dyDescent="0.25">
      <c r="B45" s="47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9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21.610399999999998</v>
      </c>
    </row>
    <row r="46" spans="1:16" x14ac:dyDescent="0.25">
      <c r="B46" s="47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9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21.428799999999999</v>
      </c>
    </row>
    <row r="47" spans="1:16" x14ac:dyDescent="0.25">
      <c r="B47" s="47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9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21.247199999999999</v>
      </c>
    </row>
    <row r="48" spans="1:16" x14ac:dyDescent="0.25">
      <c r="B48" s="47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9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21.0656</v>
      </c>
    </row>
    <row r="49" spans="2:16" x14ac:dyDescent="0.25">
      <c r="B49" s="47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9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20.883999999999997</v>
      </c>
    </row>
    <row r="50" spans="2:16" x14ac:dyDescent="0.25">
      <c r="B50" s="47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9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20.702399999999997</v>
      </c>
    </row>
    <row r="51" spans="2:16" x14ac:dyDescent="0.25">
      <c r="B51" s="479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9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20.520799999999998</v>
      </c>
    </row>
    <row r="52" spans="2:16" x14ac:dyDescent="0.25">
      <c r="B52" s="479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9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20.339200000000002</v>
      </c>
    </row>
    <row r="53" spans="2:16" ht="15" customHeight="1" x14ac:dyDescent="0.25">
      <c r="B53" s="479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9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20.157600000000002</v>
      </c>
    </row>
    <row r="54" spans="2:16" x14ac:dyDescent="0.25">
      <c r="B54" s="479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9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19.976000000000003</v>
      </c>
    </row>
    <row r="55" spans="2:16" x14ac:dyDescent="0.25">
      <c r="B55" s="479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9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1.0900000000000001</v>
      </c>
      <c r="P55" s="81">
        <f t="shared" ref="P55:P74" si="3">O55*$Q$4</f>
        <v>19.794400000000003</v>
      </c>
    </row>
    <row r="56" spans="2:16" x14ac:dyDescent="0.25">
      <c r="B56" s="479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19.6128</v>
      </c>
    </row>
    <row r="57" spans="2:16" x14ac:dyDescent="0.25">
      <c r="B57" s="479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19.4312</v>
      </c>
    </row>
    <row r="58" spans="2:16" x14ac:dyDescent="0.25">
      <c r="B58" s="479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19.249600000000001</v>
      </c>
    </row>
    <row r="59" spans="2:16" x14ac:dyDescent="0.25">
      <c r="B59" s="479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19.068000000000001</v>
      </c>
    </row>
    <row r="60" spans="2:16" x14ac:dyDescent="0.25">
      <c r="B60" s="479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18.886400000000002</v>
      </c>
    </row>
    <row r="61" spans="2:16" x14ac:dyDescent="0.25">
      <c r="B61" s="479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18.704800000000002</v>
      </c>
    </row>
    <row r="62" spans="2:16" x14ac:dyDescent="0.25">
      <c r="B62" s="479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18.523199999999999</v>
      </c>
    </row>
    <row r="63" spans="2:16" x14ac:dyDescent="0.25">
      <c r="B63" s="47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18.3416</v>
      </c>
    </row>
    <row r="64" spans="2:16" x14ac:dyDescent="0.25">
      <c r="B64" s="480">
        <v>43146</v>
      </c>
      <c r="C64" s="4">
        <v>500</v>
      </c>
      <c r="D64" s="234">
        <v>15.52</v>
      </c>
      <c r="E64" s="3">
        <v>0</v>
      </c>
      <c r="F64" s="3">
        <f t="shared" ref="F64:F75" si="5">C64*D64+E64</f>
        <v>7760</v>
      </c>
      <c r="O64" s="81">
        <v>1</v>
      </c>
      <c r="P64" s="81">
        <f t="shared" si="3"/>
        <v>18.16</v>
      </c>
    </row>
    <row r="65" spans="2:16" x14ac:dyDescent="0.25">
      <c r="B65" s="480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17.978400000000001</v>
      </c>
    </row>
    <row r="66" spans="2:16" x14ac:dyDescent="0.25">
      <c r="B66" s="480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17.796800000000001</v>
      </c>
    </row>
    <row r="67" spans="2:16" x14ac:dyDescent="0.25">
      <c r="B67" s="480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17.615199999999998</v>
      </c>
    </row>
    <row r="68" spans="2:16" x14ac:dyDescent="0.25">
      <c r="B68" s="479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17.433599999999998</v>
      </c>
    </row>
    <row r="69" spans="2:16" x14ac:dyDescent="0.25">
      <c r="B69" s="741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17.251999999999999</v>
      </c>
    </row>
    <row r="70" spans="2:16" x14ac:dyDescent="0.25">
      <c r="B70" s="741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17.070399999999999</v>
      </c>
    </row>
    <row r="71" spans="2:16" x14ac:dyDescent="0.25">
      <c r="B71" s="741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16.8888</v>
      </c>
    </row>
    <row r="72" spans="2:16" x14ac:dyDescent="0.25">
      <c r="B72" s="741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16.7072</v>
      </c>
    </row>
    <row r="73" spans="2:16" x14ac:dyDescent="0.25">
      <c r="B73" s="741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16.525600000000001</v>
      </c>
    </row>
    <row r="74" spans="2:16" ht="15" customHeight="1" x14ac:dyDescent="0.25">
      <c r="B74" s="741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O74" s="81">
        <v>0.9</v>
      </c>
      <c r="P74" s="81">
        <f t="shared" si="3"/>
        <v>16.344000000000001</v>
      </c>
    </row>
    <row r="75" spans="2:16" x14ac:dyDescent="0.25">
      <c r="B75" s="741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O75" s="81">
        <v>0.89</v>
      </c>
      <c r="P75" s="81">
        <f>O75*$Q$4</f>
        <v>16.162400000000002</v>
      </c>
    </row>
    <row r="76" spans="2:16" x14ac:dyDescent="0.25">
      <c r="C76" s="4"/>
      <c r="G76" s="29"/>
      <c r="O76" s="81">
        <v>0.88</v>
      </c>
      <c r="P76" s="81">
        <f>O76*$Q$4</f>
        <v>15.9808</v>
      </c>
    </row>
    <row r="77" spans="2:16" x14ac:dyDescent="0.25">
      <c r="G77" s="29"/>
      <c r="O77" s="81">
        <v>0.87</v>
      </c>
      <c r="P77" s="81">
        <f>O77*$Q$4</f>
        <v>15.799200000000001</v>
      </c>
    </row>
    <row r="78" spans="2:16" x14ac:dyDescent="0.25">
      <c r="G78" s="29"/>
      <c r="O78" s="81">
        <v>0.86</v>
      </c>
      <c r="P78" s="81">
        <f>O78*$Q$4</f>
        <v>15.617599999999999</v>
      </c>
    </row>
    <row r="79" spans="2:16" x14ac:dyDescent="0.25">
      <c r="G79" s="29"/>
      <c r="O79" s="81">
        <v>0.85</v>
      </c>
      <c r="P79" s="81">
        <f>O79*$Q$4</f>
        <v>15.436</v>
      </c>
    </row>
    <row r="80" spans="2:16" x14ac:dyDescent="0.25">
      <c r="G80" s="29"/>
    </row>
    <row r="81" spans="1:13" x14ac:dyDescent="0.25">
      <c r="A81" s="31" t="s">
        <v>81</v>
      </c>
      <c r="B81" s="481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2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18700</v>
      </c>
      <c r="I82" s="346"/>
      <c r="J82" s="347"/>
      <c r="K82" s="347">
        <f>SumByColor($A$82, K2:K80)</f>
        <v>288439</v>
      </c>
      <c r="L82" s="346"/>
      <c r="M82" s="347">
        <f>SumByColor($A$82, M2:M80)</f>
        <v>1613</v>
      </c>
    </row>
    <row r="85" spans="1:13" x14ac:dyDescent="0.25">
      <c r="B85" s="483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504</v>
      </c>
      <c r="K85" s="223" t="s">
        <v>150</v>
      </c>
      <c r="L85" s="223" t="s">
        <v>945</v>
      </c>
    </row>
    <row r="86" spans="1:13" x14ac:dyDescent="0.25">
      <c r="A86" t="s">
        <v>435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8">
        <v>6000</v>
      </c>
      <c r="D87" s="646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8">
        <v>6000</v>
      </c>
      <c r="D94" s="646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8">
        <v>6000</v>
      </c>
      <c r="D96" s="646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8">
        <v>6000</v>
      </c>
      <c r="D102" s="646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8">
        <v>6000</v>
      </c>
      <c r="D103" s="646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4">
        <v>8000</v>
      </c>
      <c r="D128" s="791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8">
        <v>6000</v>
      </c>
      <c r="D138" s="646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782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8">
        <v>6000</v>
      </c>
      <c r="D142" s="646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8">
        <v>6000</v>
      </c>
      <c r="D146" s="646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8">
        <v>6000</v>
      </c>
      <c r="D147" s="646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789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5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5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5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5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796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796"/>
    </row>
    <row r="174" spans="1:26" x14ac:dyDescent="0.25">
      <c r="B174" s="152">
        <v>43140</v>
      </c>
      <c r="C174" s="428">
        <v>6000</v>
      </c>
      <c r="D174" s="646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796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2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2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1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1"/>
    </row>
    <row r="181" spans="1:26" x14ac:dyDescent="0.25">
      <c r="A181">
        <v>800</v>
      </c>
      <c r="B181" s="152">
        <v>43152</v>
      </c>
      <c r="C181" s="428">
        <v>6000</v>
      </c>
      <c r="D181" s="646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964</v>
      </c>
      <c r="J181" s="39"/>
      <c r="K181" s="39">
        <v>12591</v>
      </c>
      <c r="L181" s="39"/>
      <c r="Z181" s="813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3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3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2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23">
        <v>5000</v>
      </c>
      <c r="D187" s="824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23">
        <v>5000</v>
      </c>
      <c r="D193" s="824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23">
        <v>5000</v>
      </c>
      <c r="D197" s="824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5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3" si="114">C201*(E201-D201)</f>
        <v>5720.0000000000109</v>
      </c>
      <c r="G201" s="39">
        <f t="shared" ref="G201:G203" si="115">D201*C201</f>
        <v>66528</v>
      </c>
      <c r="H201" s="225">
        <f t="shared" ref="H201:H203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A203">
        <v>2000</v>
      </c>
      <c r="B203" s="152">
        <v>43200</v>
      </c>
      <c r="C203" s="7">
        <v>4000</v>
      </c>
      <c r="D203" s="425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5" x14ac:dyDescent="0.25">
      <c r="B204" s="152"/>
      <c r="C204" s="10"/>
      <c r="D204" s="236"/>
      <c r="E204" s="39"/>
      <c r="F204" s="39"/>
      <c r="G204" s="39"/>
      <c r="H204" s="225"/>
      <c r="I204" s="39"/>
      <c r="J204" s="39"/>
      <c r="K204" s="39"/>
      <c r="L204" s="39"/>
    </row>
    <row r="205" spans="1:15" x14ac:dyDescent="0.25">
      <c r="B205" s="152"/>
      <c r="C205" s="10"/>
      <c r="D205" s="236"/>
      <c r="E205" s="39"/>
      <c r="F205" s="39"/>
      <c r="G205" s="39"/>
      <c r="H205" s="225"/>
      <c r="I205" s="39"/>
      <c r="J205" s="39"/>
      <c r="K205" s="39"/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2" t="s">
        <v>113</v>
      </c>
      <c r="C211" s="487" t="s">
        <v>146</v>
      </c>
      <c r="D211" s="623" t="s">
        <v>145</v>
      </c>
      <c r="E211" s="489" t="s">
        <v>147</v>
      </c>
      <c r="F211" s="490" t="s">
        <v>65</v>
      </c>
      <c r="G211" s="491" t="s">
        <v>151</v>
      </c>
      <c r="H211" s="490" t="s">
        <v>88</v>
      </c>
      <c r="I211" s="491" t="s">
        <v>154</v>
      </c>
    </row>
    <row r="212" spans="2:12" x14ac:dyDescent="0.25">
      <c r="B212" s="624">
        <v>42305</v>
      </c>
      <c r="C212" s="365">
        <v>2000</v>
      </c>
      <c r="D212" s="625">
        <v>34.06</v>
      </c>
      <c r="E212" s="366">
        <v>17.68</v>
      </c>
      <c r="F212" s="366">
        <v>-32767.45</v>
      </c>
      <c r="G212" s="366">
        <f t="shared" ref="G212:G218" si="117">IF(C212=0, 0,D212*C212)</f>
        <v>68120</v>
      </c>
      <c r="H212" s="368">
        <f t="shared" ref="H212:H218" si="118">IF(C212=0, D212, (E212-D212)/D212)</f>
        <v>-0.48091603053435117</v>
      </c>
      <c r="I212" s="366"/>
    </row>
    <row r="213" spans="2:12" x14ac:dyDescent="0.25">
      <c r="B213" s="624">
        <v>42307</v>
      </c>
      <c r="C213" s="365">
        <v>0</v>
      </c>
      <c r="D213" s="625" t="s">
        <v>128</v>
      </c>
      <c r="E213" s="366">
        <v>17.55</v>
      </c>
      <c r="F213" s="366">
        <v>-30722.2</v>
      </c>
      <c r="G213" s="366">
        <f t="shared" si="117"/>
        <v>0</v>
      </c>
      <c r="H213" s="368" t="str">
        <f t="shared" si="118"/>
        <v>N/A</v>
      </c>
      <c r="I213" s="366"/>
    </row>
    <row r="214" spans="2:12" x14ac:dyDescent="0.25">
      <c r="B214" s="624">
        <v>42310</v>
      </c>
      <c r="C214" s="365">
        <v>0</v>
      </c>
      <c r="D214" s="625" t="s">
        <v>128</v>
      </c>
      <c r="E214" s="366">
        <v>19.010000000000002</v>
      </c>
      <c r="F214" s="366">
        <v>-30693.25</v>
      </c>
      <c r="G214" s="366">
        <f t="shared" si="117"/>
        <v>0</v>
      </c>
      <c r="H214" s="368" t="str">
        <f t="shared" si="118"/>
        <v>N/A</v>
      </c>
      <c r="I214" s="366"/>
    </row>
    <row r="215" spans="2:12" x14ac:dyDescent="0.25">
      <c r="B215" s="624">
        <v>42314</v>
      </c>
      <c r="C215" s="365">
        <v>2500</v>
      </c>
      <c r="D215" s="625">
        <v>30.24</v>
      </c>
      <c r="E215" s="366">
        <v>18.29</v>
      </c>
      <c r="F215" s="366">
        <v>-29878.25</v>
      </c>
      <c r="G215" s="366">
        <f t="shared" si="117"/>
        <v>75600</v>
      </c>
      <c r="H215" s="368">
        <f t="shared" si="118"/>
        <v>-0.39517195767195767</v>
      </c>
      <c r="I215" s="366"/>
    </row>
    <row r="216" spans="2:12" x14ac:dyDescent="0.25">
      <c r="B216" s="624">
        <v>42318</v>
      </c>
      <c r="C216" s="365">
        <v>0</v>
      </c>
      <c r="D216" s="625" t="s">
        <v>128</v>
      </c>
      <c r="E216" s="366">
        <v>18.78</v>
      </c>
      <c r="F216" s="366">
        <v>-28604.09</v>
      </c>
      <c r="G216" s="366">
        <f t="shared" si="117"/>
        <v>0</v>
      </c>
      <c r="H216" s="368" t="str">
        <f t="shared" si="118"/>
        <v>N/A</v>
      </c>
      <c r="I216" s="366"/>
    </row>
    <row r="217" spans="2:12" x14ac:dyDescent="0.25">
      <c r="B217" s="624">
        <v>42328</v>
      </c>
      <c r="C217" s="365">
        <v>3078</v>
      </c>
      <c r="D217" s="625">
        <v>26.76</v>
      </c>
      <c r="E217" s="366">
        <v>17.440000000000001</v>
      </c>
      <c r="F217" s="366">
        <v>-28696.448999999906</v>
      </c>
      <c r="G217" s="366">
        <f t="shared" si="117"/>
        <v>82367.28</v>
      </c>
      <c r="H217" s="368">
        <f t="shared" si="118"/>
        <v>-0.34828101644245141</v>
      </c>
      <c r="I217" s="366"/>
    </row>
    <row r="218" spans="2:12" ht="15" customHeight="1" x14ac:dyDescent="0.25">
      <c r="B218" s="624">
        <v>42331</v>
      </c>
      <c r="C218" s="365">
        <v>0</v>
      </c>
      <c r="D218" s="625" t="s">
        <v>128</v>
      </c>
      <c r="E218" s="366">
        <v>17.53</v>
      </c>
      <c r="F218" s="366">
        <v>-28051.068999999901</v>
      </c>
      <c r="G218" s="366">
        <f t="shared" si="117"/>
        <v>0</v>
      </c>
      <c r="H218" s="368" t="str">
        <f t="shared" si="118"/>
        <v>N/A</v>
      </c>
      <c r="I218" s="366"/>
    </row>
    <row r="219" spans="2:12" x14ac:dyDescent="0.25">
      <c r="B219" s="624">
        <v>42335</v>
      </c>
      <c r="C219" s="365">
        <v>3078</v>
      </c>
      <c r="D219" s="625">
        <v>26.85</v>
      </c>
      <c r="E219" s="366">
        <v>17.73</v>
      </c>
      <c r="F219" s="366">
        <f>C219*(E219-D219)</f>
        <v>-28071.360000000004</v>
      </c>
      <c r="G219" s="366">
        <f>D219*C219</f>
        <v>82644.3</v>
      </c>
      <c r="H219" s="367">
        <f>(E219-D219)/D219</f>
        <v>-0.33966480446927377</v>
      </c>
      <c r="I219" s="366"/>
    </row>
    <row r="220" spans="2:12" x14ac:dyDescent="0.25">
      <c r="B220" s="624">
        <v>42335</v>
      </c>
      <c r="C220" s="365">
        <v>3578</v>
      </c>
      <c r="D220" s="625">
        <v>25.55</v>
      </c>
      <c r="E220" s="366">
        <v>17.440000000000001</v>
      </c>
      <c r="F220" s="366">
        <f t="shared" ref="F220:F251" si="119">C220*(E220-D220)</f>
        <v>-29017.579999999998</v>
      </c>
      <c r="G220" s="366">
        <f t="shared" ref="G220:G249" si="120">D220*C220</f>
        <v>91417.900000000009</v>
      </c>
      <c r="H220" s="367">
        <f t="shared" ref="H220:H249" si="121">(E220-D220)/D220</f>
        <v>-0.31741682974559682</v>
      </c>
      <c r="I220" s="366"/>
    </row>
    <row r="221" spans="2:12" x14ac:dyDescent="0.25">
      <c r="B221" s="624">
        <v>42340</v>
      </c>
      <c r="C221" s="365">
        <v>4178</v>
      </c>
      <c r="D221" s="625">
        <v>24.29</v>
      </c>
      <c r="E221" s="366">
        <v>16.670000000000002</v>
      </c>
      <c r="F221" s="366">
        <f t="shared" si="119"/>
        <v>-31836.35999999999</v>
      </c>
      <c r="G221" s="366">
        <f t="shared" si="120"/>
        <v>101483.62</v>
      </c>
      <c r="H221" s="367">
        <f t="shared" si="121"/>
        <v>-0.31370934540963352</v>
      </c>
      <c r="I221" s="366"/>
    </row>
    <row r="222" spans="2:12" x14ac:dyDescent="0.25">
      <c r="B222" s="624">
        <v>42342</v>
      </c>
      <c r="C222" s="365">
        <v>4678</v>
      </c>
      <c r="D222" s="625">
        <v>23.39</v>
      </c>
      <c r="E222" s="366">
        <v>16.12</v>
      </c>
      <c r="F222" s="366">
        <f t="shared" si="119"/>
        <v>-34009.06</v>
      </c>
      <c r="G222" s="366">
        <f t="shared" si="120"/>
        <v>109418.42</v>
      </c>
      <c r="H222" s="367">
        <f t="shared" si="121"/>
        <v>-0.31081658828559211</v>
      </c>
      <c r="I222" s="366"/>
    </row>
    <row r="223" spans="2:12" x14ac:dyDescent="0.25">
      <c r="B223" s="624">
        <v>42342</v>
      </c>
      <c r="C223" s="365">
        <v>4178</v>
      </c>
      <c r="D223" s="625">
        <v>24.26</v>
      </c>
      <c r="E223" s="366">
        <v>16.12</v>
      </c>
      <c r="F223" s="366">
        <f t="shared" si="119"/>
        <v>-34008.920000000006</v>
      </c>
      <c r="G223" s="366">
        <f t="shared" si="120"/>
        <v>101358.28000000001</v>
      </c>
      <c r="H223" s="367">
        <f t="shared" si="121"/>
        <v>-0.33553173948887055</v>
      </c>
      <c r="I223" s="366"/>
    </row>
    <row r="224" spans="2:12" x14ac:dyDescent="0.25">
      <c r="B224" s="624">
        <v>42345</v>
      </c>
      <c r="C224" s="365">
        <v>4678</v>
      </c>
      <c r="D224" s="625">
        <v>23.24</v>
      </c>
      <c r="E224" s="366">
        <v>14.78</v>
      </c>
      <c r="F224" s="366">
        <f t="shared" si="119"/>
        <v>-39575.879999999997</v>
      </c>
      <c r="G224" s="366">
        <f t="shared" si="120"/>
        <v>108716.71999999999</v>
      </c>
      <c r="H224" s="367">
        <f t="shared" si="121"/>
        <v>-0.36402753872633387</v>
      </c>
      <c r="I224" s="366"/>
    </row>
    <row r="225" spans="2:16" x14ac:dyDescent="0.25">
      <c r="B225" s="624">
        <v>42347</v>
      </c>
      <c r="C225" s="365">
        <v>4778</v>
      </c>
      <c r="D225" s="625">
        <v>23.06</v>
      </c>
      <c r="E225" s="366">
        <v>14.92</v>
      </c>
      <c r="F225" s="366">
        <f t="shared" si="119"/>
        <v>-38892.919999999991</v>
      </c>
      <c r="G225" s="366">
        <f t="shared" si="120"/>
        <v>110180.68</v>
      </c>
      <c r="H225" s="367">
        <f t="shared" si="121"/>
        <v>-0.3529921942758022</v>
      </c>
      <c r="I225" s="366"/>
    </row>
    <row r="226" spans="2:16" x14ac:dyDescent="0.25">
      <c r="B226" s="624">
        <v>42348</v>
      </c>
      <c r="C226" s="365">
        <v>4178</v>
      </c>
      <c r="D226" s="625">
        <v>24.23</v>
      </c>
      <c r="E226" s="366">
        <v>14.74</v>
      </c>
      <c r="F226" s="366">
        <f t="shared" si="119"/>
        <v>-39649.22</v>
      </c>
      <c r="G226" s="366">
        <f t="shared" si="120"/>
        <v>101232.94</v>
      </c>
      <c r="H226" s="367">
        <f t="shared" si="121"/>
        <v>-0.39166322740404458</v>
      </c>
      <c r="I226" s="366"/>
    </row>
    <row r="227" spans="2:16" ht="15" customHeight="1" x14ac:dyDescent="0.25">
      <c r="B227" s="624">
        <v>42349</v>
      </c>
      <c r="C227" s="365">
        <v>3678</v>
      </c>
      <c r="D227" s="625">
        <v>25.57</v>
      </c>
      <c r="E227" s="366">
        <v>14.34</v>
      </c>
      <c r="F227" s="366">
        <f t="shared" si="119"/>
        <v>-41303.94</v>
      </c>
      <c r="G227" s="366">
        <f t="shared" si="120"/>
        <v>94046.46</v>
      </c>
      <c r="H227" s="367">
        <f t="shared" si="121"/>
        <v>-0.43918654673445445</v>
      </c>
      <c r="I227" s="366"/>
    </row>
    <row r="228" spans="2:16" ht="15" customHeight="1" x14ac:dyDescent="0.25">
      <c r="B228" s="624">
        <v>42352</v>
      </c>
      <c r="C228" s="365">
        <v>4178</v>
      </c>
      <c r="D228" s="625">
        <v>24.18</v>
      </c>
      <c r="E228" s="366">
        <v>13.96</v>
      </c>
      <c r="F228" s="366">
        <f t="shared" si="119"/>
        <v>-42699.159999999996</v>
      </c>
      <c r="G228" s="366">
        <f t="shared" si="120"/>
        <v>101024.04</v>
      </c>
      <c r="H228" s="367">
        <f t="shared" si="121"/>
        <v>-0.42266335814722905</v>
      </c>
      <c r="I228" s="366"/>
    </row>
    <row r="229" spans="2:16" x14ac:dyDescent="0.25">
      <c r="B229" s="624">
        <v>42355</v>
      </c>
      <c r="C229" s="365">
        <v>4678</v>
      </c>
      <c r="D229" s="625">
        <v>22.98</v>
      </c>
      <c r="E229" s="366">
        <v>12.78</v>
      </c>
      <c r="F229" s="366">
        <f t="shared" si="119"/>
        <v>-47715.600000000006</v>
      </c>
      <c r="G229" s="366">
        <f t="shared" si="120"/>
        <v>107500.44</v>
      </c>
      <c r="H229" s="367">
        <f t="shared" si="121"/>
        <v>-0.44386422976501311</v>
      </c>
      <c r="I229" s="366"/>
    </row>
    <row r="230" spans="2:16" x14ac:dyDescent="0.25">
      <c r="B230" s="624">
        <v>42356</v>
      </c>
      <c r="C230" s="365">
        <v>5178</v>
      </c>
      <c r="D230" s="625">
        <v>21.99</v>
      </c>
      <c r="E230" s="366">
        <v>12.95</v>
      </c>
      <c r="F230" s="366">
        <f t="shared" si="119"/>
        <v>-46809.119999999995</v>
      </c>
      <c r="G230" s="366">
        <f t="shared" si="120"/>
        <v>113864.21999999999</v>
      </c>
      <c r="H230" s="367">
        <f t="shared" si="121"/>
        <v>-0.41109595270577537</v>
      </c>
      <c r="I230" s="366"/>
    </row>
    <row r="231" spans="2:16" x14ac:dyDescent="0.25">
      <c r="B231" s="624">
        <v>42356</v>
      </c>
      <c r="C231" s="365">
        <v>6178</v>
      </c>
      <c r="D231" s="625">
        <v>20.48</v>
      </c>
      <c r="E231" s="366">
        <v>12.76</v>
      </c>
      <c r="F231" s="366">
        <f t="shared" si="119"/>
        <v>-47694.16</v>
      </c>
      <c r="G231" s="366">
        <f t="shared" si="120"/>
        <v>126525.44</v>
      </c>
      <c r="H231" s="367">
        <f t="shared" si="121"/>
        <v>-0.376953125</v>
      </c>
      <c r="I231" s="366"/>
    </row>
    <row r="232" spans="2:16" x14ac:dyDescent="0.25">
      <c r="B232" s="624">
        <v>42356</v>
      </c>
      <c r="C232" s="365">
        <v>6400</v>
      </c>
      <c r="D232" s="625">
        <v>20.2</v>
      </c>
      <c r="E232" s="366">
        <v>12.68</v>
      </c>
      <c r="F232" s="366">
        <f t="shared" si="119"/>
        <v>-48128</v>
      </c>
      <c r="G232" s="366">
        <f t="shared" si="120"/>
        <v>129280</v>
      </c>
      <c r="H232" s="367">
        <f t="shared" si="121"/>
        <v>-0.37227722772277227</v>
      </c>
      <c r="I232" s="366"/>
    </row>
    <row r="233" spans="2:16" x14ac:dyDescent="0.25">
      <c r="B233" s="624">
        <v>42359</v>
      </c>
      <c r="C233" s="365">
        <v>5178</v>
      </c>
      <c r="D233" s="625">
        <v>21.96</v>
      </c>
      <c r="E233" s="366">
        <v>12.66</v>
      </c>
      <c r="F233" s="366">
        <f t="shared" si="119"/>
        <v>-48155.4</v>
      </c>
      <c r="G233" s="366">
        <f t="shared" si="120"/>
        <v>113708.88</v>
      </c>
      <c r="H233" s="367">
        <f t="shared" si="121"/>
        <v>-0.42349726775956287</v>
      </c>
      <c r="I233" s="366"/>
    </row>
    <row r="234" spans="2:16" x14ac:dyDescent="0.25">
      <c r="B234" s="624">
        <v>42361</v>
      </c>
      <c r="C234" s="365">
        <v>4178</v>
      </c>
      <c r="D234" s="625">
        <v>24.07</v>
      </c>
      <c r="E234" s="366">
        <v>13.96</v>
      </c>
      <c r="F234" s="366">
        <f t="shared" si="119"/>
        <v>-42239.579999999994</v>
      </c>
      <c r="G234" s="366">
        <f t="shared" si="120"/>
        <v>100564.46</v>
      </c>
      <c r="H234" s="367">
        <f t="shared" si="121"/>
        <v>-0.42002492729538843</v>
      </c>
      <c r="I234" s="366"/>
    </row>
    <row r="235" spans="2:16" x14ac:dyDescent="0.25">
      <c r="B235" s="624">
        <v>42361</v>
      </c>
      <c r="C235" s="365">
        <v>4178</v>
      </c>
      <c r="D235" s="625">
        <v>24.03</v>
      </c>
      <c r="E235" s="366">
        <v>13.96</v>
      </c>
      <c r="F235" s="366">
        <f t="shared" si="119"/>
        <v>-42072.46</v>
      </c>
      <c r="G235" s="366">
        <f t="shared" si="120"/>
        <v>100397.34000000001</v>
      </c>
      <c r="H235" s="367">
        <f t="shared" si="121"/>
        <v>-0.41905950894714938</v>
      </c>
      <c r="I235" s="366"/>
      <c r="P235" s="70"/>
    </row>
    <row r="236" spans="2:16" x14ac:dyDescent="0.25">
      <c r="B236" s="624">
        <v>42366</v>
      </c>
      <c r="C236" s="386">
        <v>6678</v>
      </c>
      <c r="D236" s="626">
        <v>19.91</v>
      </c>
      <c r="E236" s="366">
        <v>13.09</v>
      </c>
      <c r="F236" s="366">
        <f t="shared" si="119"/>
        <v>-45543.96</v>
      </c>
      <c r="G236" s="366">
        <f t="shared" si="120"/>
        <v>132958.98000000001</v>
      </c>
      <c r="H236" s="367">
        <f t="shared" si="121"/>
        <v>-0.34254143646408841</v>
      </c>
      <c r="I236" s="366"/>
      <c r="P236" s="70"/>
    </row>
    <row r="237" spans="2:16" x14ac:dyDescent="0.25">
      <c r="B237" s="624">
        <v>42367</v>
      </c>
      <c r="C237" s="386">
        <v>8678</v>
      </c>
      <c r="D237" s="626">
        <v>18.32</v>
      </c>
      <c r="E237" s="366">
        <v>13.03</v>
      </c>
      <c r="F237" s="366">
        <f t="shared" si="119"/>
        <v>-45906.62000000001</v>
      </c>
      <c r="G237" s="366">
        <f t="shared" si="120"/>
        <v>158980.96</v>
      </c>
      <c r="H237" s="367">
        <f t="shared" si="121"/>
        <v>-0.28875545851528389</v>
      </c>
      <c r="I237" s="366"/>
    </row>
    <row r="238" spans="2:16" x14ac:dyDescent="0.25">
      <c r="B238" s="624">
        <v>42368</v>
      </c>
      <c r="C238" s="365">
        <v>9678</v>
      </c>
      <c r="D238" s="625">
        <v>17.73</v>
      </c>
      <c r="E238" s="366">
        <v>12.38</v>
      </c>
      <c r="F238" s="366">
        <f t="shared" si="119"/>
        <v>-51777.299999999996</v>
      </c>
      <c r="G238" s="366">
        <f t="shared" si="120"/>
        <v>171590.94</v>
      </c>
      <c r="H238" s="368">
        <f t="shared" si="121"/>
        <v>-0.30174844895657077</v>
      </c>
      <c r="I238" s="366"/>
    </row>
    <row r="239" spans="2:16" x14ac:dyDescent="0.25">
      <c r="B239" s="624">
        <v>42369</v>
      </c>
      <c r="C239" s="365">
        <v>8678</v>
      </c>
      <c r="D239" s="625">
        <v>18.312999999999999</v>
      </c>
      <c r="E239" s="366">
        <v>12.59</v>
      </c>
      <c r="F239" s="366">
        <f t="shared" si="119"/>
        <v>-49664.193999999989</v>
      </c>
      <c r="G239" s="366">
        <f t="shared" si="120"/>
        <v>158920.21399999998</v>
      </c>
      <c r="H239" s="368">
        <f t="shared" si="121"/>
        <v>-0.3125102386282968</v>
      </c>
      <c r="I239" s="366"/>
    </row>
    <row r="240" spans="2:16" x14ac:dyDescent="0.25">
      <c r="B240" s="624">
        <v>42374</v>
      </c>
      <c r="C240" s="365">
        <v>7678</v>
      </c>
      <c r="D240" s="625">
        <v>19.010000000000002</v>
      </c>
      <c r="E240" s="366">
        <v>12.76</v>
      </c>
      <c r="F240" s="366">
        <f t="shared" si="119"/>
        <v>-47987.500000000015</v>
      </c>
      <c r="G240" s="366">
        <f t="shared" si="120"/>
        <v>145958.78</v>
      </c>
      <c r="H240" s="368">
        <f t="shared" si="121"/>
        <v>-0.32877432930036832</v>
      </c>
      <c r="I240" s="366"/>
    </row>
    <row r="241" spans="2:17" x14ac:dyDescent="0.25">
      <c r="B241" s="624">
        <v>42375</v>
      </c>
      <c r="C241" s="365">
        <v>8678</v>
      </c>
      <c r="D241" s="625">
        <v>18.257000000000001</v>
      </c>
      <c r="E241" s="366">
        <v>12.76</v>
      </c>
      <c r="F241" s="366">
        <f t="shared" si="119"/>
        <v>-47702.966000000015</v>
      </c>
      <c r="G241" s="366">
        <f t="shared" si="120"/>
        <v>158434.24600000001</v>
      </c>
      <c r="H241" s="368">
        <f t="shared" si="121"/>
        <v>-0.30108999287944355</v>
      </c>
      <c r="I241" s="366"/>
    </row>
    <row r="242" spans="2:17" ht="15" customHeight="1" x14ac:dyDescent="0.25">
      <c r="B242" s="624">
        <v>42375</v>
      </c>
      <c r="C242" s="365">
        <v>9678</v>
      </c>
      <c r="D242" s="625">
        <v>17.579999999999998</v>
      </c>
      <c r="E242" s="366">
        <v>11.28</v>
      </c>
      <c r="F242" s="366">
        <f t="shared" si="119"/>
        <v>-60971.399999999987</v>
      </c>
      <c r="G242" s="366">
        <f t="shared" si="120"/>
        <v>170139.24</v>
      </c>
      <c r="H242" s="368">
        <f t="shared" si="121"/>
        <v>-0.35836177474402725</v>
      </c>
      <c r="I242" s="366"/>
    </row>
    <row r="243" spans="2:17" ht="18.75" customHeight="1" x14ac:dyDescent="0.25">
      <c r="B243" s="624">
        <v>42398</v>
      </c>
      <c r="C243" s="365">
        <v>9278</v>
      </c>
      <c r="D243" s="625">
        <v>17.93</v>
      </c>
      <c r="E243" s="366">
        <v>9.56</v>
      </c>
      <c r="F243" s="366">
        <f t="shared" si="119"/>
        <v>-77656.859999999986</v>
      </c>
      <c r="G243" s="366">
        <f t="shared" si="120"/>
        <v>166354.54</v>
      </c>
      <c r="H243" s="368">
        <f t="shared" si="121"/>
        <v>-0.46681539319576126</v>
      </c>
      <c r="I243" s="366"/>
    </row>
    <row r="244" spans="2:17" x14ac:dyDescent="0.25">
      <c r="B244" s="624">
        <v>42402</v>
      </c>
      <c r="C244" s="365">
        <v>9678</v>
      </c>
      <c r="D244" s="625">
        <v>17.559999999999999</v>
      </c>
      <c r="E244" s="366">
        <v>8.74</v>
      </c>
      <c r="F244" s="366">
        <f t="shared" si="119"/>
        <v>-85359.959999999992</v>
      </c>
      <c r="G244" s="366">
        <f t="shared" si="120"/>
        <v>169945.68</v>
      </c>
      <c r="H244" s="368">
        <f t="shared" si="121"/>
        <v>-0.50227790432801822</v>
      </c>
      <c r="I244" s="366"/>
    </row>
    <row r="245" spans="2:17" x14ac:dyDescent="0.25">
      <c r="B245" s="624">
        <v>42411</v>
      </c>
      <c r="C245" s="365">
        <v>9678</v>
      </c>
      <c r="D245" s="625">
        <v>17.553999999999998</v>
      </c>
      <c r="E245" s="366">
        <v>7.13</v>
      </c>
      <c r="F245" s="366">
        <f t="shared" si="119"/>
        <v>-100883.47199999999</v>
      </c>
      <c r="G245" s="366">
        <f t="shared" si="120"/>
        <v>169887.61199999999</v>
      </c>
      <c r="H245" s="367">
        <f t="shared" si="121"/>
        <v>-0.59382476928335426</v>
      </c>
      <c r="I245" s="366"/>
    </row>
    <row r="246" spans="2:17" x14ac:dyDescent="0.25">
      <c r="B246" s="624">
        <v>42412</v>
      </c>
      <c r="C246" s="365">
        <v>9678</v>
      </c>
      <c r="D246" s="625">
        <v>17.55</v>
      </c>
      <c r="E246" s="366">
        <v>7.46</v>
      </c>
      <c r="F246" s="366">
        <f t="shared" si="119"/>
        <v>-97651.02</v>
      </c>
      <c r="G246" s="366">
        <f t="shared" si="120"/>
        <v>169848.9</v>
      </c>
      <c r="H246" s="367">
        <f t="shared" si="121"/>
        <v>-0.57492877492877492</v>
      </c>
      <c r="I246" s="366"/>
    </row>
    <row r="247" spans="2:17" x14ac:dyDescent="0.25">
      <c r="B247" s="624">
        <v>42416</v>
      </c>
      <c r="C247" s="365">
        <v>9178</v>
      </c>
      <c r="D247" s="625">
        <v>18.084</v>
      </c>
      <c r="E247" s="366">
        <v>7.49</v>
      </c>
      <c r="F247" s="366">
        <f t="shared" si="119"/>
        <v>-97231.731999999989</v>
      </c>
      <c r="G247" s="366">
        <f t="shared" si="120"/>
        <v>165974.95199999999</v>
      </c>
      <c r="H247" s="367">
        <f t="shared" si="121"/>
        <v>-0.58582172085821715</v>
      </c>
      <c r="I247" s="366"/>
      <c r="P247" s="1"/>
    </row>
    <row r="248" spans="2:17" x14ac:dyDescent="0.25">
      <c r="B248" s="624">
        <v>42416</v>
      </c>
      <c r="C248" s="365">
        <v>9678</v>
      </c>
      <c r="D248" s="625">
        <v>17.536999999999999</v>
      </c>
      <c r="E248" s="366">
        <v>7.49</v>
      </c>
      <c r="F248" s="366">
        <f t="shared" si="119"/>
        <v>-97234.865999999995</v>
      </c>
      <c r="G248" s="366">
        <f t="shared" si="120"/>
        <v>169723.08599999998</v>
      </c>
      <c r="H248" s="367">
        <f t="shared" si="121"/>
        <v>-0.57290300507498426</v>
      </c>
      <c r="I248" s="366"/>
      <c r="Q248" s="70"/>
    </row>
    <row r="249" spans="2:17" x14ac:dyDescent="0.25">
      <c r="B249" s="624">
        <v>42418</v>
      </c>
      <c r="C249" s="365">
        <v>13478</v>
      </c>
      <c r="D249" s="625">
        <v>14.673999999999999</v>
      </c>
      <c r="E249" s="366">
        <v>6.93</v>
      </c>
      <c r="F249" s="366">
        <f t="shared" si="119"/>
        <v>-104373.632</v>
      </c>
      <c r="G249" s="366">
        <f t="shared" si="120"/>
        <v>197776.17199999999</v>
      </c>
      <c r="H249" s="367">
        <f t="shared" si="121"/>
        <v>-0.52773613193403301</v>
      </c>
      <c r="I249" s="366"/>
      <c r="P249" s="1"/>
    </row>
    <row r="250" spans="2:17" x14ac:dyDescent="0.25">
      <c r="B250" s="624">
        <v>42422</v>
      </c>
      <c r="C250" s="365">
        <v>10978</v>
      </c>
      <c r="D250" s="625">
        <v>16.314</v>
      </c>
      <c r="E250" s="366">
        <v>7.49</v>
      </c>
      <c r="F250" s="366">
        <f t="shared" si="119"/>
        <v>-96869.872000000003</v>
      </c>
      <c r="G250" s="366">
        <f>IF(C250=0, 0,D250*C250)</f>
        <v>179095.092</v>
      </c>
      <c r="H250" s="367">
        <f>IF(C250=0, D250, (E250-D250)/D250)</f>
        <v>-0.54088512933676591</v>
      </c>
      <c r="I250" s="366"/>
      <c r="P250" s="1"/>
      <c r="Q250" s="70"/>
    </row>
    <row r="251" spans="2:17" x14ac:dyDescent="0.25">
      <c r="B251" s="624">
        <v>42422</v>
      </c>
      <c r="C251" s="365">
        <v>9978</v>
      </c>
      <c r="D251" s="625">
        <v>17.199000000000002</v>
      </c>
      <c r="E251" s="366">
        <v>7.49</v>
      </c>
      <c r="F251" s="366">
        <f t="shared" si="119"/>
        <v>-96876.402000000016</v>
      </c>
      <c r="G251" s="366">
        <f>IF(C251=0, 0,D251*C251)</f>
        <v>171611.622</v>
      </c>
      <c r="H251" s="367">
        <f>IF(C251=0, D251, (E251-D251)/D251)</f>
        <v>-0.56450956450956458</v>
      </c>
      <c r="I251" s="366"/>
      <c r="P251" s="1"/>
    </row>
    <row r="252" spans="2:17" x14ac:dyDescent="0.25">
      <c r="B252" s="624">
        <v>42426</v>
      </c>
      <c r="C252" s="365">
        <v>9678</v>
      </c>
      <c r="D252" s="625">
        <v>17.489000000000001</v>
      </c>
      <c r="E252" s="366">
        <v>7.49</v>
      </c>
      <c r="F252" s="366">
        <f t="shared" ref="F252:F260" si="122">C252*(E252-D252)</f>
        <v>-96770.322</v>
      </c>
      <c r="G252" s="366">
        <f>IF(C252=0, 0,D252*C252)</f>
        <v>169258.54200000002</v>
      </c>
      <c r="H252" s="367">
        <f>IF(C252=0, D252, (E252-D252)/D252)</f>
        <v>-0.57173080221853734</v>
      </c>
      <c r="I252" s="366"/>
      <c r="P252" s="1"/>
      <c r="Q252" s="70"/>
    </row>
    <row r="253" spans="2:17" x14ac:dyDescent="0.25">
      <c r="B253" s="624">
        <v>42426</v>
      </c>
      <c r="C253" s="365">
        <v>9178</v>
      </c>
      <c r="D253" s="625">
        <v>18.02</v>
      </c>
      <c r="E253" s="366">
        <v>7.76</v>
      </c>
      <c r="F253" s="366">
        <f t="shared" si="122"/>
        <v>-94166.28</v>
      </c>
      <c r="G253" s="366">
        <f t="shared" ref="G253:G260" si="123">IF(C253=0, 0,D253*C253)</f>
        <v>165387.56</v>
      </c>
      <c r="H253" s="367">
        <f t="shared" ref="H253:H260" si="124">IF(C253=0, D253, (E253-D253)/D253)</f>
        <v>-0.5693673695893452</v>
      </c>
      <c r="I253" s="366"/>
      <c r="N253" s="70"/>
      <c r="Q253" s="70"/>
    </row>
    <row r="254" spans="2:17" x14ac:dyDescent="0.25">
      <c r="B254" s="624">
        <v>42426</v>
      </c>
      <c r="C254" s="365">
        <v>8178</v>
      </c>
      <c r="D254" s="625">
        <v>19.245999999999999</v>
      </c>
      <c r="E254" s="366">
        <v>8</v>
      </c>
      <c r="F254" s="366">
        <f t="shared" si="122"/>
        <v>-91969.787999999986</v>
      </c>
      <c r="G254" s="366">
        <f t="shared" si="123"/>
        <v>157393.788</v>
      </c>
      <c r="H254" s="367">
        <f t="shared" si="124"/>
        <v>-0.58432921126467829</v>
      </c>
      <c r="I254" s="366"/>
      <c r="P254" s="1"/>
    </row>
    <row r="255" spans="2:17" x14ac:dyDescent="0.25">
      <c r="B255" s="624">
        <v>42426</v>
      </c>
      <c r="C255" s="365">
        <v>6678</v>
      </c>
      <c r="D255" s="625">
        <v>21.75</v>
      </c>
      <c r="E255" s="366">
        <v>8.1</v>
      </c>
      <c r="F255" s="366">
        <f t="shared" si="122"/>
        <v>-91154.7</v>
      </c>
      <c r="G255" s="366">
        <f t="shared" si="123"/>
        <v>145246.5</v>
      </c>
      <c r="H255" s="367">
        <f t="shared" si="124"/>
        <v>-0.62758620689655176</v>
      </c>
      <c r="I255" s="366"/>
    </row>
    <row r="256" spans="2:17" x14ac:dyDescent="0.25">
      <c r="B256" s="624">
        <v>42426</v>
      </c>
      <c r="C256" s="365">
        <v>8678</v>
      </c>
      <c r="D256" s="625">
        <v>18.568999999999999</v>
      </c>
      <c r="E256" s="366">
        <v>7.94</v>
      </c>
      <c r="F256" s="366">
        <f t="shared" si="122"/>
        <v>-92238.461999999985</v>
      </c>
      <c r="G256" s="366">
        <f t="shared" si="123"/>
        <v>161141.78199999998</v>
      </c>
      <c r="H256" s="367">
        <f t="shared" si="124"/>
        <v>-0.57240562227368186</v>
      </c>
      <c r="I256" s="366"/>
    </row>
    <row r="257" spans="2:9" x14ac:dyDescent="0.25">
      <c r="B257" s="624">
        <v>42429</v>
      </c>
      <c r="C257" s="365">
        <v>7678</v>
      </c>
      <c r="D257" s="625">
        <v>19.876000000000001</v>
      </c>
      <c r="E257" s="366">
        <v>8.2100000000000009</v>
      </c>
      <c r="F257" s="366">
        <f t="shared" si="122"/>
        <v>-89571.54800000001</v>
      </c>
      <c r="G257" s="366">
        <f t="shared" si="123"/>
        <v>152607.92800000001</v>
      </c>
      <c r="H257" s="367">
        <f t="shared" si="124"/>
        <v>-0.58693902193600322</v>
      </c>
      <c r="I257" s="366"/>
    </row>
    <row r="258" spans="2:9" x14ac:dyDescent="0.25">
      <c r="B258" s="624">
        <v>42429</v>
      </c>
      <c r="C258" s="365">
        <v>9678</v>
      </c>
      <c r="D258" s="625">
        <v>17.463000000000001</v>
      </c>
      <c r="E258" s="366">
        <v>8.2100000000000009</v>
      </c>
      <c r="F258" s="366">
        <f t="shared" si="122"/>
        <v>-89550.534</v>
      </c>
      <c r="G258" s="366">
        <f t="shared" si="123"/>
        <v>169006.91400000002</v>
      </c>
      <c r="H258" s="367">
        <f t="shared" si="124"/>
        <v>-0.5298631392086125</v>
      </c>
      <c r="I258" s="366"/>
    </row>
    <row r="259" spans="2:9" x14ac:dyDescent="0.25">
      <c r="B259" s="624">
        <v>42429</v>
      </c>
      <c r="C259" s="365">
        <v>9178</v>
      </c>
      <c r="D259" s="625">
        <v>17.981000000000002</v>
      </c>
      <c r="E259" s="366">
        <v>8.2100000000000009</v>
      </c>
      <c r="F259" s="366">
        <f t="shared" si="122"/>
        <v>-89678.238000000012</v>
      </c>
      <c r="G259" s="366">
        <f t="shared" si="123"/>
        <v>165029.61800000002</v>
      </c>
      <c r="H259" s="367">
        <f t="shared" si="124"/>
        <v>-0.5434069295367332</v>
      </c>
      <c r="I259" s="366"/>
    </row>
    <row r="260" spans="2:9" x14ac:dyDescent="0.25">
      <c r="B260" s="624">
        <v>42429</v>
      </c>
      <c r="C260" s="365">
        <v>9678</v>
      </c>
      <c r="D260" s="625">
        <v>17.459</v>
      </c>
      <c r="E260" s="366">
        <v>8.2100000000000009</v>
      </c>
      <c r="F260" s="366">
        <f t="shared" si="122"/>
        <v>-89511.821999999986</v>
      </c>
      <c r="G260" s="366">
        <f t="shared" si="123"/>
        <v>168968.20199999999</v>
      </c>
      <c r="H260" s="367">
        <f t="shared" si="124"/>
        <v>-0.5297554270004009</v>
      </c>
      <c r="I260" s="366"/>
    </row>
    <row r="261" spans="2:9" x14ac:dyDescent="0.25">
      <c r="B261" s="624">
        <v>42429</v>
      </c>
      <c r="C261" s="365">
        <v>9178</v>
      </c>
      <c r="D261" s="625">
        <v>17.975999999999999</v>
      </c>
      <c r="E261" s="366">
        <v>8.2100000000000009</v>
      </c>
      <c r="F261" s="366">
        <f t="shared" ref="F261:F272" si="125">C261*(E261-D261)</f>
        <v>-89632.347999999984</v>
      </c>
      <c r="G261" s="366">
        <f t="shared" ref="G261:G272" si="126">IF(C261=0, 0,D261*C261)</f>
        <v>164983.728</v>
      </c>
      <c r="H261" s="367">
        <f t="shared" ref="H261:H312" si="127">IF(C261=0, D261, (E261-D261)/D261)</f>
        <v>-0.54327992879394738</v>
      </c>
      <c r="I261" s="366" t="s">
        <v>186</v>
      </c>
    </row>
    <row r="262" spans="2:9" x14ac:dyDescent="0.25">
      <c r="B262" s="624">
        <v>42430</v>
      </c>
      <c r="C262" s="386">
        <v>10178</v>
      </c>
      <c r="D262" s="626">
        <v>16.974</v>
      </c>
      <c r="E262" s="366">
        <v>7.8</v>
      </c>
      <c r="F262" s="366">
        <f t="shared" si="125"/>
        <v>-93372.971999999994</v>
      </c>
      <c r="G262" s="366">
        <f t="shared" si="126"/>
        <v>172761.372</v>
      </c>
      <c r="H262" s="367">
        <f t="shared" si="127"/>
        <v>-0.54047366560622123</v>
      </c>
      <c r="I262" s="366"/>
    </row>
    <row r="263" spans="2:9" x14ac:dyDescent="0.25">
      <c r="B263" s="624">
        <v>42430</v>
      </c>
      <c r="C263" s="386">
        <v>9678</v>
      </c>
      <c r="D263" s="626">
        <v>17.440000000000001</v>
      </c>
      <c r="E263" s="366">
        <v>7.96</v>
      </c>
      <c r="F263" s="366">
        <f t="shared" si="125"/>
        <v>-91747.44</v>
      </c>
      <c r="G263" s="366">
        <f t="shared" si="126"/>
        <v>168784.32</v>
      </c>
      <c r="H263" s="367">
        <f t="shared" si="127"/>
        <v>-0.54357798165137616</v>
      </c>
      <c r="I263" s="366"/>
    </row>
    <row r="264" spans="2:9" x14ac:dyDescent="0.25">
      <c r="B264" s="624">
        <v>42431</v>
      </c>
      <c r="C264" s="365">
        <v>8678</v>
      </c>
      <c r="D264" s="625">
        <v>18.405999999999999</v>
      </c>
      <c r="E264" s="366">
        <v>9.1</v>
      </c>
      <c r="F264" s="366">
        <f t="shared" si="125"/>
        <v>-80757.467999999993</v>
      </c>
      <c r="G264" s="366">
        <f t="shared" si="126"/>
        <v>159727.26799999998</v>
      </c>
      <c r="H264" s="368">
        <f t="shared" si="127"/>
        <v>-0.50559600130392257</v>
      </c>
      <c r="I264" s="366"/>
    </row>
    <row r="265" spans="2:9" x14ac:dyDescent="0.25">
      <c r="B265" s="624">
        <v>42432</v>
      </c>
      <c r="C265" s="365">
        <v>9278</v>
      </c>
      <c r="D265" s="625">
        <v>17.771999999999998</v>
      </c>
      <c r="E265" s="366">
        <v>9.9700000000000006</v>
      </c>
      <c r="F265" s="366">
        <f t="shared" si="125"/>
        <v>-72386.955999999976</v>
      </c>
      <c r="G265" s="366">
        <f t="shared" si="126"/>
        <v>164888.61599999998</v>
      </c>
      <c r="H265" s="368">
        <f t="shared" si="127"/>
        <v>-0.43900517668242173</v>
      </c>
      <c r="I265" s="366"/>
    </row>
    <row r="266" spans="2:9" x14ac:dyDescent="0.25">
      <c r="B266" s="624">
        <v>42433</v>
      </c>
      <c r="C266" s="365">
        <v>9278</v>
      </c>
      <c r="D266" s="625">
        <v>17.771999999999998</v>
      </c>
      <c r="E266" s="366">
        <v>11</v>
      </c>
      <c r="F266" s="366">
        <f t="shared" si="125"/>
        <v>-62830.615999999987</v>
      </c>
      <c r="G266" s="366">
        <f t="shared" si="126"/>
        <v>164888.61599999998</v>
      </c>
      <c r="H266" s="368">
        <f t="shared" si="127"/>
        <v>-0.38104884087328378</v>
      </c>
      <c r="I266" s="366"/>
    </row>
    <row r="267" spans="2:9" x14ac:dyDescent="0.25">
      <c r="B267" s="624">
        <v>42439</v>
      </c>
      <c r="C267" s="365">
        <v>9278</v>
      </c>
      <c r="D267" s="625">
        <v>17.718</v>
      </c>
      <c r="E267" s="366">
        <v>10.59</v>
      </c>
      <c r="F267" s="366">
        <f t="shared" si="125"/>
        <v>-66133.584000000003</v>
      </c>
      <c r="G267" s="366">
        <f t="shared" si="126"/>
        <v>164387.60399999999</v>
      </c>
      <c r="H267" s="368">
        <f t="shared" si="127"/>
        <v>-0.40230274297324753</v>
      </c>
      <c r="I267" s="366" t="s">
        <v>185</v>
      </c>
    </row>
    <row r="268" spans="2:9" x14ac:dyDescent="0.25">
      <c r="B268" s="624">
        <v>42440</v>
      </c>
      <c r="C268" s="365">
        <v>9278</v>
      </c>
      <c r="D268" s="625">
        <v>17.712</v>
      </c>
      <c r="E268" s="366">
        <v>11.12</v>
      </c>
      <c r="F268" s="366">
        <f t="shared" si="125"/>
        <v>-61160.576000000008</v>
      </c>
      <c r="G268" s="366">
        <f t="shared" si="126"/>
        <v>164331.93599999999</v>
      </c>
      <c r="H268" s="368">
        <f t="shared" si="127"/>
        <v>-0.37217705510388438</v>
      </c>
      <c r="I268" s="366"/>
    </row>
    <row r="269" spans="2:9" x14ac:dyDescent="0.25">
      <c r="B269" s="624">
        <v>42446</v>
      </c>
      <c r="C269" s="365">
        <v>9278</v>
      </c>
      <c r="D269" s="625">
        <v>17.704999999999998</v>
      </c>
      <c r="E269" s="366">
        <v>11.45</v>
      </c>
      <c r="F269" s="366">
        <f t="shared" si="125"/>
        <v>-58033.889999999992</v>
      </c>
      <c r="G269" s="366">
        <f t="shared" si="126"/>
        <v>164266.99</v>
      </c>
      <c r="H269" s="368">
        <f t="shared" si="127"/>
        <v>-0.353290031064671</v>
      </c>
      <c r="I269" s="366"/>
    </row>
    <row r="270" spans="2:9" x14ac:dyDescent="0.25">
      <c r="B270" s="624">
        <v>42447</v>
      </c>
      <c r="C270" s="365">
        <v>7928</v>
      </c>
      <c r="D270" s="625">
        <v>18.734999999999999</v>
      </c>
      <c r="E270" s="366">
        <v>11.63</v>
      </c>
      <c r="F270" s="366">
        <f t="shared" si="125"/>
        <v>-56328.439999999988</v>
      </c>
      <c r="G270" s="366">
        <f t="shared" si="126"/>
        <v>148531.07999999999</v>
      </c>
      <c r="H270" s="368">
        <f t="shared" si="127"/>
        <v>-0.37923672271150249</v>
      </c>
      <c r="I270" s="366"/>
    </row>
    <row r="271" spans="2:9" x14ac:dyDescent="0.25">
      <c r="B271" s="624">
        <v>42450</v>
      </c>
      <c r="C271" s="365">
        <v>9278</v>
      </c>
      <c r="D271" s="625">
        <v>17.670000000000002</v>
      </c>
      <c r="E271" s="366">
        <v>11.43</v>
      </c>
      <c r="F271" s="366">
        <f t="shared" si="125"/>
        <v>-57894.720000000016</v>
      </c>
      <c r="G271" s="366">
        <f t="shared" si="126"/>
        <v>163942.26</v>
      </c>
      <c r="H271" s="367">
        <f t="shared" si="127"/>
        <v>-0.35314091680814946</v>
      </c>
      <c r="I271" s="366"/>
    </row>
    <row r="272" spans="2:9" x14ac:dyDescent="0.25">
      <c r="B272" s="624">
        <v>42451</v>
      </c>
      <c r="C272" s="365">
        <v>9628</v>
      </c>
      <c r="D272" s="625">
        <v>17.428000000000001</v>
      </c>
      <c r="E272" s="366">
        <v>11.31</v>
      </c>
      <c r="F272" s="366">
        <f t="shared" si="125"/>
        <v>-58904.104000000007</v>
      </c>
      <c r="G272" s="366">
        <f t="shared" si="126"/>
        <v>167796.78400000001</v>
      </c>
      <c r="H272" s="367">
        <f t="shared" si="127"/>
        <v>-0.35104429653431263</v>
      </c>
      <c r="I272" s="366"/>
    </row>
    <row r="273" spans="2:14" x14ac:dyDescent="0.25">
      <c r="B273" s="624">
        <v>42453</v>
      </c>
      <c r="C273" s="365">
        <v>13278</v>
      </c>
      <c r="D273" s="625">
        <v>15.5565</v>
      </c>
      <c r="E273" s="366">
        <v>10.29</v>
      </c>
      <c r="F273" s="366">
        <f t="shared" ref="F273:F312" si="128">C273*(E273-D273)</f>
        <v>-69928.587000000014</v>
      </c>
      <c r="G273" s="366">
        <f t="shared" ref="G273:G312" si="129">IF(C273=0, 0,D273*C273)</f>
        <v>206559.20699999999</v>
      </c>
      <c r="H273" s="367">
        <f t="shared" si="127"/>
        <v>-0.33854016006171056</v>
      </c>
      <c r="I273" s="366"/>
    </row>
    <row r="274" spans="2:14" x14ac:dyDescent="0.25">
      <c r="B274" s="624">
        <v>42459</v>
      </c>
      <c r="C274" s="365">
        <v>11278</v>
      </c>
      <c r="D274" s="625">
        <v>16.408899999999999</v>
      </c>
      <c r="E274" s="366">
        <v>10.53</v>
      </c>
      <c r="F274" s="366">
        <f t="shared" si="128"/>
        <v>-66302.234199999992</v>
      </c>
      <c r="G274" s="366">
        <f t="shared" si="129"/>
        <v>185059.5742</v>
      </c>
      <c r="H274" s="367">
        <f t="shared" si="127"/>
        <v>-0.35827508242478168</v>
      </c>
      <c r="I274" s="366"/>
    </row>
    <row r="275" spans="2:14" x14ac:dyDescent="0.25">
      <c r="B275" s="624">
        <v>42460</v>
      </c>
      <c r="C275" s="365">
        <v>9678</v>
      </c>
      <c r="D275" s="625">
        <v>17.311699999999998</v>
      </c>
      <c r="E275" s="366">
        <v>11.14</v>
      </c>
      <c r="F275" s="366">
        <f t="shared" si="128"/>
        <v>-59729.712599999977</v>
      </c>
      <c r="G275" s="366">
        <f t="shared" si="129"/>
        <v>167542.63259999998</v>
      </c>
      <c r="H275" s="367">
        <f t="shared" si="127"/>
        <v>-0.35650456049954643</v>
      </c>
      <c r="I275" s="366"/>
    </row>
    <row r="276" spans="2:14" x14ac:dyDescent="0.25">
      <c r="B276" s="624">
        <v>42461</v>
      </c>
      <c r="C276" s="365">
        <v>11678</v>
      </c>
      <c r="D276" s="625">
        <v>16.116</v>
      </c>
      <c r="E276" s="366">
        <v>10.53</v>
      </c>
      <c r="F276" s="366">
        <f t="shared" si="128"/>
        <v>-65233.308000000005</v>
      </c>
      <c r="G276" s="366">
        <f t="shared" si="129"/>
        <v>188202.64799999999</v>
      </c>
      <c r="H276" s="367">
        <f t="shared" si="127"/>
        <v>-0.34661206254653765</v>
      </c>
      <c r="I276" s="366"/>
    </row>
    <row r="277" spans="2:14" x14ac:dyDescent="0.25">
      <c r="B277" s="624">
        <v>42461</v>
      </c>
      <c r="C277" s="365">
        <v>9678</v>
      </c>
      <c r="D277" s="625">
        <v>17.266200000000001</v>
      </c>
      <c r="E277" s="366">
        <v>10.56</v>
      </c>
      <c r="F277" s="366">
        <f t="shared" si="128"/>
        <v>-64902.603600000009</v>
      </c>
      <c r="G277" s="366">
        <f t="shared" si="129"/>
        <v>167102.28360000002</v>
      </c>
      <c r="H277" s="367">
        <f t="shared" si="127"/>
        <v>-0.388400458699656</v>
      </c>
      <c r="I277" s="366"/>
    </row>
    <row r="278" spans="2:14" x14ac:dyDescent="0.25">
      <c r="B278" s="624">
        <v>42464</v>
      </c>
      <c r="C278" s="365">
        <v>9778</v>
      </c>
      <c r="D278" s="625">
        <v>17.196100000000001</v>
      </c>
      <c r="E278" s="366">
        <v>10.4</v>
      </c>
      <c r="F278" s="366">
        <f t="shared" si="128"/>
        <v>-66452.265800000008</v>
      </c>
      <c r="G278" s="366">
        <f t="shared" si="129"/>
        <v>168143.46580000001</v>
      </c>
      <c r="H278" s="367">
        <f t="shared" si="127"/>
        <v>-0.3952117049796175</v>
      </c>
      <c r="I278" s="366"/>
    </row>
    <row r="279" spans="2:14" x14ac:dyDescent="0.25">
      <c r="B279" s="624">
        <v>42465</v>
      </c>
      <c r="C279" s="365">
        <v>9678</v>
      </c>
      <c r="D279" s="625">
        <v>17.262699999999999</v>
      </c>
      <c r="E279" s="366">
        <v>10.63</v>
      </c>
      <c r="F279" s="366">
        <f t="shared" si="128"/>
        <v>-64191.270599999982</v>
      </c>
      <c r="G279" s="366">
        <f t="shared" si="129"/>
        <v>167068.4106</v>
      </c>
      <c r="H279" s="367">
        <f t="shared" si="127"/>
        <v>-0.38422147172806098</v>
      </c>
      <c r="I279" s="366"/>
    </row>
    <row r="280" spans="2:14" x14ac:dyDescent="0.25">
      <c r="B280" s="624">
        <v>42469</v>
      </c>
      <c r="C280" s="365">
        <v>8678</v>
      </c>
      <c r="D280" s="625">
        <v>17.895700000000001</v>
      </c>
      <c r="E280" s="366">
        <v>11.78</v>
      </c>
      <c r="F280" s="366">
        <f t="shared" si="128"/>
        <v>-53072.044600000016</v>
      </c>
      <c r="G280" s="366">
        <f t="shared" si="129"/>
        <v>155298.88460000002</v>
      </c>
      <c r="H280" s="367">
        <f t="shared" si="127"/>
        <v>-0.34174131215878684</v>
      </c>
      <c r="I280" s="366"/>
      <c r="N280" s="70"/>
    </row>
    <row r="281" spans="2:14" x14ac:dyDescent="0.25">
      <c r="B281" s="624">
        <v>42471</v>
      </c>
      <c r="C281" s="365">
        <v>9678</v>
      </c>
      <c r="D281" s="625">
        <v>17.2514</v>
      </c>
      <c r="E281" s="366">
        <v>11.67</v>
      </c>
      <c r="F281" s="366">
        <f t="shared" si="128"/>
        <v>-54016.789200000007</v>
      </c>
      <c r="G281" s="366">
        <f t="shared" si="129"/>
        <v>166959.04920000001</v>
      </c>
      <c r="H281" s="367">
        <f t="shared" si="127"/>
        <v>-0.32353316252593994</v>
      </c>
      <c r="I281" s="366"/>
    </row>
    <row r="282" spans="2:14" x14ac:dyDescent="0.25">
      <c r="B282" s="624">
        <v>42472</v>
      </c>
      <c r="C282" s="365">
        <v>8288</v>
      </c>
      <c r="D282" s="625">
        <v>17.96</v>
      </c>
      <c r="E282" s="366">
        <v>13.05</v>
      </c>
      <c r="F282" s="366">
        <f t="shared" si="128"/>
        <v>-40694.080000000002</v>
      </c>
      <c r="G282" s="366">
        <f t="shared" si="129"/>
        <v>148852.48000000001</v>
      </c>
      <c r="H282" s="367">
        <f t="shared" si="127"/>
        <v>-0.27338530066815142</v>
      </c>
      <c r="I282" s="366"/>
    </row>
    <row r="283" spans="2:14" x14ac:dyDescent="0.25">
      <c r="B283" s="624">
        <v>42473</v>
      </c>
      <c r="C283" s="365">
        <v>9258</v>
      </c>
      <c r="D283" s="625">
        <v>17.415800000000001</v>
      </c>
      <c r="E283" s="366">
        <v>12.92</v>
      </c>
      <c r="F283" s="366">
        <f t="shared" si="128"/>
        <v>-41622.116400000006</v>
      </c>
      <c r="G283" s="366">
        <f t="shared" si="129"/>
        <v>161235.47640000001</v>
      </c>
      <c r="H283" s="367">
        <f t="shared" si="127"/>
        <v>-0.2581449029042594</v>
      </c>
      <c r="I283" s="366"/>
    </row>
    <row r="284" spans="2:14" x14ac:dyDescent="0.25">
      <c r="B284" s="624">
        <v>42474</v>
      </c>
      <c r="C284" s="365">
        <v>9678</v>
      </c>
      <c r="D284" s="625">
        <v>17.2135</v>
      </c>
      <c r="E284" s="366">
        <v>13.11</v>
      </c>
      <c r="F284" s="366">
        <f t="shared" si="128"/>
        <v>-39713.673000000003</v>
      </c>
      <c r="G284" s="366">
        <f t="shared" si="129"/>
        <v>166592.253</v>
      </c>
      <c r="H284" s="367">
        <f t="shared" si="127"/>
        <v>-0.23838847416272113</v>
      </c>
      <c r="I284" s="366"/>
    </row>
    <row r="285" spans="2:14" x14ac:dyDescent="0.25">
      <c r="B285" s="624">
        <v>42474</v>
      </c>
      <c r="C285" s="365">
        <v>9178</v>
      </c>
      <c r="D285" s="625">
        <v>17.433299999999999</v>
      </c>
      <c r="E285" s="366">
        <v>13.11</v>
      </c>
      <c r="F285" s="366">
        <f t="shared" si="128"/>
        <v>-39679.2474</v>
      </c>
      <c r="G285" s="366">
        <f t="shared" si="129"/>
        <v>160002.82739999998</v>
      </c>
      <c r="H285" s="367">
        <f t="shared" si="127"/>
        <v>-0.24799091394056202</v>
      </c>
      <c r="I285" s="366"/>
    </row>
    <row r="286" spans="2:14" x14ac:dyDescent="0.25">
      <c r="B286" s="624">
        <v>42475</v>
      </c>
      <c r="C286" s="365">
        <v>9678</v>
      </c>
      <c r="D286" s="625">
        <v>17.205100000000002</v>
      </c>
      <c r="E286" s="366">
        <v>13.01</v>
      </c>
      <c r="F286" s="366">
        <f t="shared" si="128"/>
        <v>-40600.177800000019</v>
      </c>
      <c r="G286" s="366">
        <f t="shared" si="129"/>
        <v>166510.9578</v>
      </c>
      <c r="H286" s="367">
        <f t="shared" si="127"/>
        <v>-0.24382886469709572</v>
      </c>
      <c r="I286" s="366"/>
    </row>
    <row r="287" spans="2:14" x14ac:dyDescent="0.25">
      <c r="B287" s="624">
        <v>42478</v>
      </c>
      <c r="C287" s="365">
        <v>9178</v>
      </c>
      <c r="D287" s="625">
        <v>17.412400000000002</v>
      </c>
      <c r="E287" s="366">
        <v>13.36</v>
      </c>
      <c r="F287" s="366">
        <f t="shared" si="128"/>
        <v>-37192.92720000002</v>
      </c>
      <c r="G287" s="366">
        <f t="shared" si="129"/>
        <v>159811.00720000002</v>
      </c>
      <c r="H287" s="367">
        <f t="shared" si="127"/>
        <v>-0.232730697663734</v>
      </c>
      <c r="I287" s="366"/>
    </row>
    <row r="288" spans="2:14" x14ac:dyDescent="0.25">
      <c r="B288" s="624">
        <v>42484</v>
      </c>
      <c r="C288" s="386">
        <v>9178</v>
      </c>
      <c r="D288" s="626">
        <v>17.412400000000002</v>
      </c>
      <c r="E288" s="366">
        <v>14.34</v>
      </c>
      <c r="F288" s="366">
        <f t="shared" si="128"/>
        <v>-28198.487200000018</v>
      </c>
      <c r="G288" s="366">
        <f t="shared" si="129"/>
        <v>159811.00720000002</v>
      </c>
      <c r="H288" s="367">
        <f t="shared" si="127"/>
        <v>-0.17644896740254082</v>
      </c>
      <c r="I288" s="366"/>
    </row>
    <row r="289" spans="2:14" x14ac:dyDescent="0.25">
      <c r="B289" s="624">
        <v>42485</v>
      </c>
      <c r="C289" s="386">
        <v>9678</v>
      </c>
      <c r="D289" s="626">
        <v>17.233499999999999</v>
      </c>
      <c r="E289" s="366">
        <v>13.83</v>
      </c>
      <c r="F289" s="366">
        <f t="shared" si="128"/>
        <v>-32939.072999999997</v>
      </c>
      <c r="G289" s="366">
        <f t="shared" si="129"/>
        <v>166785.81299999999</v>
      </c>
      <c r="H289" s="367">
        <f t="shared" si="127"/>
        <v>-0.19749325441726867</v>
      </c>
      <c r="I289" s="366"/>
    </row>
    <row r="290" spans="2:14" x14ac:dyDescent="0.25">
      <c r="B290" s="624">
        <v>42486</v>
      </c>
      <c r="C290" s="365">
        <v>9178</v>
      </c>
      <c r="D290" s="625">
        <v>17.390599999999999</v>
      </c>
      <c r="E290" s="366">
        <v>14.44</v>
      </c>
      <c r="F290" s="366">
        <f t="shared" si="128"/>
        <v>-27080.606799999998</v>
      </c>
      <c r="G290" s="366">
        <f t="shared" si="129"/>
        <v>159610.92679999999</v>
      </c>
      <c r="H290" s="368">
        <f t="shared" si="127"/>
        <v>-0.16966637148804525</v>
      </c>
      <c r="I290" s="366"/>
    </row>
    <row r="291" spans="2:14" x14ac:dyDescent="0.25">
      <c r="B291" s="624">
        <v>42487</v>
      </c>
      <c r="C291" s="365">
        <v>9178</v>
      </c>
      <c r="D291" s="625">
        <v>17.376300000000001</v>
      </c>
      <c r="E291" s="366">
        <v>14.84</v>
      </c>
      <c r="F291" s="366">
        <f t="shared" si="128"/>
        <v>-23278.161400000005</v>
      </c>
      <c r="G291" s="366">
        <f t="shared" si="129"/>
        <v>159479.6814</v>
      </c>
      <c r="H291" s="368">
        <f t="shared" si="127"/>
        <v>-0.14596317973331496</v>
      </c>
      <c r="I291" s="366"/>
    </row>
    <row r="292" spans="2:14" x14ac:dyDescent="0.25">
      <c r="B292" s="624">
        <v>42488</v>
      </c>
      <c r="C292" s="365">
        <v>9678</v>
      </c>
      <c r="D292" s="625">
        <v>17.2287</v>
      </c>
      <c r="E292" s="366">
        <v>14.35</v>
      </c>
      <c r="F292" s="366">
        <f t="shared" si="128"/>
        <v>-27860.058600000004</v>
      </c>
      <c r="G292" s="366">
        <f t="shared" si="129"/>
        <v>166739.35860000001</v>
      </c>
      <c r="H292" s="368">
        <f t="shared" si="127"/>
        <v>-0.16708747612994598</v>
      </c>
      <c r="I292" s="366"/>
    </row>
    <row r="293" spans="2:14" x14ac:dyDescent="0.25">
      <c r="B293" s="624">
        <v>42489</v>
      </c>
      <c r="C293" s="365">
        <v>9678</v>
      </c>
      <c r="D293" s="625">
        <v>17.179200000000002</v>
      </c>
      <c r="E293" s="366">
        <v>14.09</v>
      </c>
      <c r="F293" s="366">
        <f t="shared" si="128"/>
        <v>-29897.277600000016</v>
      </c>
      <c r="G293" s="366">
        <f t="shared" si="129"/>
        <v>166260.29760000002</v>
      </c>
      <c r="H293" s="368">
        <f t="shared" si="127"/>
        <v>-0.17982211045916</v>
      </c>
      <c r="I293" s="366"/>
    </row>
    <row r="294" spans="2:14" x14ac:dyDescent="0.25">
      <c r="B294" s="624">
        <v>42492</v>
      </c>
      <c r="C294" s="365">
        <v>9678</v>
      </c>
      <c r="D294" s="625">
        <v>17.136399999999998</v>
      </c>
      <c r="E294" s="366">
        <v>13.55</v>
      </c>
      <c r="F294" s="366">
        <f t="shared" si="128"/>
        <v>-34709.179199999977</v>
      </c>
      <c r="G294" s="366">
        <f t="shared" si="129"/>
        <v>165846.07919999998</v>
      </c>
      <c r="H294" s="368">
        <f t="shared" si="127"/>
        <v>-0.20928549753740563</v>
      </c>
      <c r="I294" s="366"/>
    </row>
    <row r="295" spans="2:14" x14ac:dyDescent="0.25">
      <c r="B295" s="624">
        <v>42493</v>
      </c>
      <c r="C295" s="365">
        <v>9678</v>
      </c>
      <c r="D295" s="625">
        <v>17.1221</v>
      </c>
      <c r="E295" s="366">
        <v>12.79</v>
      </c>
      <c r="F295" s="366">
        <f t="shared" si="128"/>
        <v>-41926.063800000004</v>
      </c>
      <c r="G295" s="366">
        <f t="shared" si="129"/>
        <v>165707.6838</v>
      </c>
      <c r="H295" s="368">
        <f t="shared" si="127"/>
        <v>-0.25301218892542388</v>
      </c>
      <c r="I295" s="366"/>
    </row>
    <row r="296" spans="2:14" x14ac:dyDescent="0.25">
      <c r="B296" s="624">
        <v>42494</v>
      </c>
      <c r="C296" s="365">
        <v>11678</v>
      </c>
      <c r="D296" s="625">
        <v>16.316800000000001</v>
      </c>
      <c r="E296" s="366">
        <v>12.17</v>
      </c>
      <c r="F296" s="366">
        <f t="shared" si="128"/>
        <v>-48426.330400000006</v>
      </c>
      <c r="G296" s="366">
        <f t="shared" si="129"/>
        <v>190547.59040000002</v>
      </c>
      <c r="H296" s="368">
        <f t="shared" si="127"/>
        <v>-0.25414296920964896</v>
      </c>
      <c r="I296" s="366"/>
    </row>
    <row r="297" spans="2:14" x14ac:dyDescent="0.25">
      <c r="B297" s="624">
        <v>42495</v>
      </c>
      <c r="C297" s="365">
        <v>9678</v>
      </c>
      <c r="D297" s="625">
        <v>17.0684</v>
      </c>
      <c r="E297" s="366">
        <v>12.07</v>
      </c>
      <c r="F297" s="366">
        <f t="shared" si="128"/>
        <v>-48374.515200000002</v>
      </c>
      <c r="G297" s="366">
        <f t="shared" si="129"/>
        <v>165187.97520000002</v>
      </c>
      <c r="H297" s="367">
        <f t="shared" si="127"/>
        <v>-0.29284525790349419</v>
      </c>
      <c r="I297" s="366"/>
    </row>
    <row r="298" spans="2:14" x14ac:dyDescent="0.25">
      <c r="B298" s="624">
        <v>42499</v>
      </c>
      <c r="C298" s="365">
        <v>10678</v>
      </c>
      <c r="D298" s="625">
        <v>16.537600000000001</v>
      </c>
      <c r="E298" s="366">
        <v>11.44</v>
      </c>
      <c r="F298" s="366">
        <f t="shared" si="128"/>
        <v>-54432.172800000015</v>
      </c>
      <c r="G298" s="366">
        <f t="shared" si="129"/>
        <v>176588.49280000001</v>
      </c>
      <c r="H298" s="367">
        <f t="shared" si="127"/>
        <v>-0.30824303405572762</v>
      </c>
      <c r="I298" s="366"/>
      <c r="N298" s="70"/>
    </row>
    <row r="299" spans="2:14" x14ac:dyDescent="0.25">
      <c r="B299" s="624">
        <v>42500</v>
      </c>
      <c r="C299" s="365">
        <v>9678</v>
      </c>
      <c r="D299" s="625">
        <v>17.042100000000001</v>
      </c>
      <c r="E299" s="366">
        <v>11.94</v>
      </c>
      <c r="F299" s="366">
        <f t="shared" si="128"/>
        <v>-49378.123800000016</v>
      </c>
      <c r="G299" s="366">
        <f t="shared" si="129"/>
        <v>164933.44380000001</v>
      </c>
      <c r="H299" s="367">
        <f t="shared" si="127"/>
        <v>-0.2993821184009014</v>
      </c>
      <c r="I299" s="366"/>
    </row>
    <row r="300" spans="2:14" x14ac:dyDescent="0.25">
      <c r="B300" s="624">
        <v>42502</v>
      </c>
      <c r="C300" s="365">
        <v>10678</v>
      </c>
      <c r="D300" s="625">
        <v>16.601800000000001</v>
      </c>
      <c r="E300" s="366">
        <v>12.33</v>
      </c>
      <c r="F300" s="366">
        <f t="shared" si="128"/>
        <v>-45614.280400000011</v>
      </c>
      <c r="G300" s="366">
        <f t="shared" si="129"/>
        <v>177274.02040000001</v>
      </c>
      <c r="H300" s="367">
        <f t="shared" si="127"/>
        <v>-0.25730944837306802</v>
      </c>
      <c r="I300" s="366"/>
    </row>
    <row r="301" spans="2:14" x14ac:dyDescent="0.25">
      <c r="B301" s="624">
        <v>42502</v>
      </c>
      <c r="C301" s="365">
        <v>9678</v>
      </c>
      <c r="D301" s="625">
        <v>17.0334</v>
      </c>
      <c r="E301" s="366">
        <v>12.33</v>
      </c>
      <c r="F301" s="366">
        <f t="shared" si="128"/>
        <v>-45519.5052</v>
      </c>
      <c r="G301" s="366">
        <f t="shared" si="129"/>
        <v>164849.2452</v>
      </c>
      <c r="H301" s="367">
        <f t="shared" si="127"/>
        <v>-0.27612807777660364</v>
      </c>
      <c r="I301" s="366"/>
    </row>
    <row r="302" spans="2:14" x14ac:dyDescent="0.25">
      <c r="B302" s="624">
        <v>42503</v>
      </c>
      <c r="C302" s="365">
        <v>9678</v>
      </c>
      <c r="D302" s="625">
        <v>17.029299999999999</v>
      </c>
      <c r="E302" s="366">
        <v>12.3</v>
      </c>
      <c r="F302" s="366">
        <f t="shared" si="128"/>
        <v>-45770.165399999983</v>
      </c>
      <c r="G302" s="366">
        <f t="shared" si="129"/>
        <v>164809.56539999999</v>
      </c>
      <c r="H302" s="367">
        <f t="shared" si="127"/>
        <v>-0.27771546687180321</v>
      </c>
      <c r="I302" s="366"/>
    </row>
    <row r="303" spans="2:14" x14ac:dyDescent="0.25">
      <c r="B303" s="624">
        <v>42506</v>
      </c>
      <c r="C303" s="365">
        <v>9678</v>
      </c>
      <c r="D303" s="625">
        <v>17.027699999999999</v>
      </c>
      <c r="E303" s="366">
        <v>12.78</v>
      </c>
      <c r="F303" s="366">
        <f t="shared" si="128"/>
        <v>-41109.240599999997</v>
      </c>
      <c r="G303" s="366">
        <f t="shared" si="129"/>
        <v>164794.08059999999</v>
      </c>
      <c r="H303" s="367">
        <f t="shared" si="127"/>
        <v>-0.24945823569830336</v>
      </c>
      <c r="I303" s="366"/>
    </row>
    <row r="304" spans="2:14" x14ac:dyDescent="0.25">
      <c r="B304" s="624">
        <v>42513</v>
      </c>
      <c r="C304" s="365">
        <v>9178</v>
      </c>
      <c r="D304" s="625">
        <v>17.244399999999999</v>
      </c>
      <c r="E304" s="366">
        <v>13.19</v>
      </c>
      <c r="F304" s="366">
        <f t="shared" si="128"/>
        <v>-37211.283199999991</v>
      </c>
      <c r="G304" s="366">
        <f t="shared" si="129"/>
        <v>158269.10319999998</v>
      </c>
      <c r="H304" s="367">
        <f t="shared" si="127"/>
        <v>-0.23511400802579385</v>
      </c>
      <c r="I304" s="366"/>
    </row>
    <row r="305" spans="2:9" x14ac:dyDescent="0.25">
      <c r="B305" s="624">
        <v>42514</v>
      </c>
      <c r="C305" s="365">
        <v>9678</v>
      </c>
      <c r="D305" s="625">
        <v>17.026</v>
      </c>
      <c r="E305" s="366">
        <v>13.02</v>
      </c>
      <c r="F305" s="366">
        <f t="shared" si="128"/>
        <v>-38770.067999999999</v>
      </c>
      <c r="G305" s="366">
        <f t="shared" si="129"/>
        <v>164777.628</v>
      </c>
      <c r="H305" s="367">
        <f t="shared" si="127"/>
        <v>-0.23528720779983556</v>
      </c>
      <c r="I305" s="366"/>
    </row>
    <row r="306" spans="2:9" x14ac:dyDescent="0.25">
      <c r="B306" s="624">
        <v>42515</v>
      </c>
      <c r="C306" s="365">
        <v>9178</v>
      </c>
      <c r="D306" s="625">
        <v>17.206800000000001</v>
      </c>
      <c r="E306" s="366">
        <v>13.54</v>
      </c>
      <c r="F306" s="366">
        <f t="shared" si="128"/>
        <v>-33653.890400000018</v>
      </c>
      <c r="G306" s="366">
        <f t="shared" si="129"/>
        <v>157924.0104</v>
      </c>
      <c r="H306" s="367">
        <f t="shared" si="127"/>
        <v>-0.21310179696399109</v>
      </c>
      <c r="I306" s="366"/>
    </row>
    <row r="307" spans="2:9" x14ac:dyDescent="0.25">
      <c r="B307" s="624">
        <v>42516</v>
      </c>
      <c r="C307" s="365">
        <v>9678</v>
      </c>
      <c r="D307" s="625">
        <v>17.003799999999998</v>
      </c>
      <c r="E307" s="366">
        <v>13.17</v>
      </c>
      <c r="F307" s="366">
        <f t="shared" si="128"/>
        <v>-37103.516399999986</v>
      </c>
      <c r="G307" s="366">
        <f t="shared" si="129"/>
        <v>164562.77639999997</v>
      </c>
      <c r="H307" s="367">
        <f t="shared" si="127"/>
        <v>-0.22546724849739463</v>
      </c>
      <c r="I307" s="366"/>
    </row>
    <row r="308" spans="2:9" x14ac:dyDescent="0.25">
      <c r="B308" s="624">
        <v>42517</v>
      </c>
      <c r="C308" s="365">
        <v>9678</v>
      </c>
      <c r="D308" s="625">
        <v>16.999700000000001</v>
      </c>
      <c r="E308" s="366">
        <v>12.9</v>
      </c>
      <c r="F308" s="366">
        <f t="shared" si="128"/>
        <v>-39676.8966</v>
      </c>
      <c r="G308" s="366">
        <f t="shared" si="129"/>
        <v>164523.09660000002</v>
      </c>
      <c r="H308" s="367">
        <f t="shared" si="127"/>
        <v>-0.2411630793484591</v>
      </c>
      <c r="I308" s="366"/>
    </row>
    <row r="309" spans="2:9" x14ac:dyDescent="0.25">
      <c r="B309" s="624">
        <v>42525</v>
      </c>
      <c r="C309" s="365">
        <v>9678</v>
      </c>
      <c r="D309" s="625">
        <v>16.9956</v>
      </c>
      <c r="E309" s="366">
        <v>13.32</v>
      </c>
      <c r="F309" s="366">
        <f t="shared" si="128"/>
        <v>-35572.456799999993</v>
      </c>
      <c r="G309" s="366">
        <f t="shared" si="129"/>
        <v>164483.41680000001</v>
      </c>
      <c r="H309" s="367">
        <f t="shared" si="127"/>
        <v>-0.21626773988561743</v>
      </c>
      <c r="I309" s="366"/>
    </row>
    <row r="310" spans="2:9" x14ac:dyDescent="0.25">
      <c r="B310" s="624">
        <v>42527</v>
      </c>
      <c r="C310" s="365">
        <v>8178</v>
      </c>
      <c r="D310" s="625">
        <v>17.568999999999999</v>
      </c>
      <c r="E310" s="366">
        <v>13.96</v>
      </c>
      <c r="F310" s="366">
        <f t="shared" si="128"/>
        <v>-29514.401999999984</v>
      </c>
      <c r="G310" s="366">
        <f t="shared" si="129"/>
        <v>143679.28200000001</v>
      </c>
      <c r="H310" s="367">
        <f t="shared" si="127"/>
        <v>-0.20541863509590746</v>
      </c>
      <c r="I310" s="366"/>
    </row>
    <row r="311" spans="2:9" x14ac:dyDescent="0.25">
      <c r="B311" s="624">
        <v>42528</v>
      </c>
      <c r="C311" s="365">
        <v>7678</v>
      </c>
      <c r="D311" s="625">
        <v>17.759599999999999</v>
      </c>
      <c r="E311" s="366">
        <v>14.62</v>
      </c>
      <c r="F311" s="366">
        <f t="shared" si="128"/>
        <v>-24105.848799999996</v>
      </c>
      <c r="G311" s="366">
        <f t="shared" si="129"/>
        <v>136358.20879999999</v>
      </c>
      <c r="H311" s="367">
        <f t="shared" si="127"/>
        <v>-0.17678326088425414</v>
      </c>
      <c r="I311" s="366"/>
    </row>
    <row r="312" spans="2:9" x14ac:dyDescent="0.25">
      <c r="B312" s="624">
        <v>42529</v>
      </c>
      <c r="C312" s="365">
        <v>8178</v>
      </c>
      <c r="D312" s="625">
        <v>17.5654</v>
      </c>
      <c r="E312" s="366">
        <v>14.53</v>
      </c>
      <c r="F312" s="366">
        <f t="shared" si="128"/>
        <v>-24823.50120000001</v>
      </c>
      <c r="G312" s="366">
        <f t="shared" si="129"/>
        <v>143649.8412</v>
      </c>
      <c r="H312" s="367">
        <f t="shared" si="127"/>
        <v>-0.17280562924840887</v>
      </c>
      <c r="I312" s="366"/>
    </row>
    <row r="313" spans="2:9" x14ac:dyDescent="0.25">
      <c r="B313" s="624">
        <v>42531</v>
      </c>
      <c r="C313" s="365">
        <v>8978</v>
      </c>
      <c r="D313" s="625">
        <v>17.1751</v>
      </c>
      <c r="E313" s="366">
        <v>13.42</v>
      </c>
      <c r="F313" s="366">
        <f t="shared" ref="F313:F321" si="130">C313*(E313-D313)</f>
        <v>-33713.287800000006</v>
      </c>
      <c r="G313" s="366">
        <f t="shared" ref="G313:G321" si="131">IF(C313=0, 0,D313*C313)</f>
        <v>154198.0478</v>
      </c>
      <c r="H313" s="367">
        <f t="shared" ref="H313:H321" si="132">IF(C313=0, D313, (E313-D313)/D313)</f>
        <v>-0.21863628159370255</v>
      </c>
      <c r="I313" s="366"/>
    </row>
    <row r="314" spans="2:9" x14ac:dyDescent="0.25">
      <c r="B314" s="624">
        <v>42531</v>
      </c>
      <c r="C314" s="386">
        <v>9278</v>
      </c>
      <c r="D314" s="626">
        <v>17.1052</v>
      </c>
      <c r="E314" s="366">
        <v>13.42</v>
      </c>
      <c r="F314" s="366">
        <f t="shared" si="130"/>
        <v>-34191.285600000003</v>
      </c>
      <c r="G314" s="366">
        <f t="shared" si="131"/>
        <v>158702.04560000001</v>
      </c>
      <c r="H314" s="367">
        <f t="shared" si="132"/>
        <v>-0.21544325702125669</v>
      </c>
      <c r="I314" s="366"/>
    </row>
    <row r="315" spans="2:9" x14ac:dyDescent="0.25">
      <c r="B315" s="624">
        <v>42532</v>
      </c>
      <c r="C315" s="365">
        <v>9278</v>
      </c>
      <c r="D315" s="625">
        <v>17.053000000000001</v>
      </c>
      <c r="E315" s="366">
        <v>13.42</v>
      </c>
      <c r="F315" s="366">
        <f t="shared" si="130"/>
        <v>-33706.974000000009</v>
      </c>
      <c r="G315" s="366">
        <f t="shared" si="131"/>
        <v>158217.734</v>
      </c>
      <c r="H315" s="367">
        <f t="shared" si="132"/>
        <v>-0.21304169354365804</v>
      </c>
      <c r="I315" s="366" t="s">
        <v>182</v>
      </c>
    </row>
    <row r="316" spans="2:9" x14ac:dyDescent="0.25">
      <c r="B316" s="624">
        <v>42535</v>
      </c>
      <c r="C316" s="365">
        <v>9678</v>
      </c>
      <c r="D316" s="625">
        <v>16.879300000000001</v>
      </c>
      <c r="E316" s="366">
        <v>13.23</v>
      </c>
      <c r="F316" s="366">
        <f t="shared" si="130"/>
        <v>-35317.9254</v>
      </c>
      <c r="G316" s="366">
        <f t="shared" si="131"/>
        <v>163357.86540000001</v>
      </c>
      <c r="H316" s="367">
        <f t="shared" si="132"/>
        <v>-0.21619972392220058</v>
      </c>
      <c r="I316" s="366" t="s">
        <v>219</v>
      </c>
    </row>
    <row r="317" spans="2:9" x14ac:dyDescent="0.25">
      <c r="B317" s="624">
        <v>42536</v>
      </c>
      <c r="C317" s="365">
        <v>9278</v>
      </c>
      <c r="D317" s="625">
        <v>17.027999999999999</v>
      </c>
      <c r="E317" s="366">
        <v>13.06</v>
      </c>
      <c r="F317" s="366">
        <f t="shared" si="130"/>
        <v>-36815.103999999985</v>
      </c>
      <c r="G317" s="366">
        <f t="shared" si="131"/>
        <v>157985.78399999999</v>
      </c>
      <c r="H317" s="367">
        <f t="shared" si="132"/>
        <v>-0.23302795395818643</v>
      </c>
      <c r="I317" s="366"/>
    </row>
    <row r="318" spans="2:9" x14ac:dyDescent="0.25">
      <c r="B318" s="624">
        <v>42537</v>
      </c>
      <c r="C318" s="386">
        <v>9278</v>
      </c>
      <c r="D318" s="626">
        <v>17.0168</v>
      </c>
      <c r="E318" s="366">
        <v>12.67</v>
      </c>
      <c r="F318" s="366">
        <f t="shared" si="130"/>
        <v>-40329.610399999998</v>
      </c>
      <c r="G318" s="366">
        <f t="shared" si="131"/>
        <v>157881.87039999999</v>
      </c>
      <c r="H318" s="367">
        <f t="shared" si="132"/>
        <v>-0.25544168116214566</v>
      </c>
      <c r="I318" s="366"/>
    </row>
    <row r="319" spans="2:9" x14ac:dyDescent="0.25">
      <c r="B319" s="624">
        <v>42538</v>
      </c>
      <c r="C319" s="386">
        <v>9278</v>
      </c>
      <c r="D319" s="626">
        <v>17.0061</v>
      </c>
      <c r="E319" s="366">
        <v>13.16</v>
      </c>
      <c r="F319" s="366">
        <f t="shared" si="130"/>
        <v>-35684.1158</v>
      </c>
      <c r="G319" s="366">
        <f t="shared" si="131"/>
        <v>157782.59580000001</v>
      </c>
      <c r="H319" s="367">
        <f t="shared" si="132"/>
        <v>-0.2261600249322302</v>
      </c>
      <c r="I319" s="366"/>
    </row>
    <row r="320" spans="2:9" x14ac:dyDescent="0.25">
      <c r="B320" s="624">
        <v>42541</v>
      </c>
      <c r="C320" s="365">
        <v>7678</v>
      </c>
      <c r="D320" s="625">
        <v>17.568000000000001</v>
      </c>
      <c r="E320" s="366">
        <v>14.48</v>
      </c>
      <c r="F320" s="366">
        <f t="shared" si="130"/>
        <v>-23709.664000000008</v>
      </c>
      <c r="G320" s="366">
        <f t="shared" si="131"/>
        <v>134887.10400000002</v>
      </c>
      <c r="H320" s="368">
        <f t="shared" si="132"/>
        <v>-0.17577413479052828</v>
      </c>
      <c r="I320" s="366"/>
    </row>
    <row r="321" spans="2:14" ht="15" customHeight="1" x14ac:dyDescent="0.25">
      <c r="B321" s="624">
        <v>42542</v>
      </c>
      <c r="C321" s="365">
        <v>6800</v>
      </c>
      <c r="D321" s="625">
        <v>17.892099999999999</v>
      </c>
      <c r="E321" s="366">
        <v>15.09</v>
      </c>
      <c r="F321" s="366">
        <f t="shared" si="130"/>
        <v>-19054.279999999995</v>
      </c>
      <c r="G321" s="366">
        <f t="shared" si="131"/>
        <v>121666.28</v>
      </c>
      <c r="H321" s="368">
        <f t="shared" si="132"/>
        <v>-0.15661101827063337</v>
      </c>
      <c r="I321" s="366"/>
    </row>
    <row r="322" spans="2:14" x14ac:dyDescent="0.25">
      <c r="B322" s="624">
        <v>42543</v>
      </c>
      <c r="C322" s="365">
        <v>7300</v>
      </c>
      <c r="D322" s="625">
        <v>17.6769</v>
      </c>
      <c r="E322" s="366">
        <v>14.75</v>
      </c>
      <c r="F322" s="366">
        <f t="shared" ref="F322:F330" si="133">C322*(E322-D322)</f>
        <v>-21366.37</v>
      </c>
      <c r="G322" s="366">
        <f t="shared" ref="G322:G330" si="134">IF(C322=0, 0,D322*C322)</f>
        <v>129041.37</v>
      </c>
      <c r="H322" s="368">
        <f t="shared" ref="H322:H330" si="135">IF(C322=0, D322, (E322-D322)/D322)</f>
        <v>-0.16557767481854849</v>
      </c>
      <c r="I322" s="366"/>
    </row>
    <row r="323" spans="2:14" x14ac:dyDescent="0.25">
      <c r="B323" s="624">
        <v>42544</v>
      </c>
      <c r="C323" s="365">
        <v>6800</v>
      </c>
      <c r="D323" s="625">
        <v>17.856100000000001</v>
      </c>
      <c r="E323" s="366">
        <v>15.27</v>
      </c>
      <c r="F323" s="366">
        <f t="shared" si="133"/>
        <v>-17585.480000000014</v>
      </c>
      <c r="G323" s="366">
        <f t="shared" si="134"/>
        <v>121421.48000000001</v>
      </c>
      <c r="H323" s="368">
        <f t="shared" si="135"/>
        <v>-0.1448300580753917</v>
      </c>
      <c r="I323" s="366"/>
    </row>
    <row r="324" spans="2:14" x14ac:dyDescent="0.25">
      <c r="B324" s="624">
        <v>42545</v>
      </c>
      <c r="C324" s="365">
        <v>7678</v>
      </c>
      <c r="D324" s="625">
        <v>17.462</v>
      </c>
      <c r="E324" s="366">
        <v>14.41</v>
      </c>
      <c r="F324" s="366">
        <f t="shared" si="133"/>
        <v>-23433.255999999998</v>
      </c>
      <c r="G324" s="366">
        <f t="shared" si="134"/>
        <v>134073.236</v>
      </c>
      <c r="H324" s="368">
        <f t="shared" si="135"/>
        <v>-0.17477952124613444</v>
      </c>
      <c r="I324" s="366"/>
    </row>
    <row r="325" spans="2:14" x14ac:dyDescent="0.25">
      <c r="B325" s="624">
        <v>42545</v>
      </c>
      <c r="C325" s="365">
        <v>8013</v>
      </c>
      <c r="D325" s="625">
        <v>17.32</v>
      </c>
      <c r="E325" s="366">
        <v>14.68</v>
      </c>
      <c r="F325" s="366">
        <f t="shared" si="133"/>
        <v>-21154.320000000003</v>
      </c>
      <c r="G325" s="366">
        <f t="shared" si="134"/>
        <v>138785.16</v>
      </c>
      <c r="H325" s="368">
        <f t="shared" si="135"/>
        <v>-0.15242494226327949</v>
      </c>
      <c r="I325" s="366"/>
    </row>
    <row r="326" spans="2:14" x14ac:dyDescent="0.25">
      <c r="B326" s="624">
        <v>42548</v>
      </c>
      <c r="C326" s="365">
        <v>8978</v>
      </c>
      <c r="D326" s="625">
        <v>16.943300000000001</v>
      </c>
      <c r="E326" s="366">
        <v>13.66</v>
      </c>
      <c r="F326" s="366">
        <f t="shared" si="133"/>
        <v>-29477.467400000005</v>
      </c>
      <c r="G326" s="366">
        <f t="shared" si="134"/>
        <v>152116.9474</v>
      </c>
      <c r="H326" s="368">
        <f t="shared" si="135"/>
        <v>-0.19378161279089673</v>
      </c>
      <c r="I326" s="366"/>
    </row>
    <row r="327" spans="2:14" x14ac:dyDescent="0.25">
      <c r="B327" s="624">
        <v>42548</v>
      </c>
      <c r="C327" s="365">
        <v>9278</v>
      </c>
      <c r="D327" s="625">
        <v>16.834599999999998</v>
      </c>
      <c r="E327" s="366">
        <v>13.66</v>
      </c>
      <c r="F327" s="366">
        <f t="shared" si="133"/>
        <v>-29453.938799999982</v>
      </c>
      <c r="G327" s="366">
        <f t="shared" si="134"/>
        <v>156191.41879999998</v>
      </c>
      <c r="H327" s="367">
        <f t="shared" si="135"/>
        <v>-0.18857590913951019</v>
      </c>
      <c r="I327" s="366"/>
    </row>
    <row r="328" spans="2:14" x14ac:dyDescent="0.25">
      <c r="B328" s="624">
        <v>42549</v>
      </c>
      <c r="C328" s="365">
        <v>8178</v>
      </c>
      <c r="D328" s="625">
        <v>17.124400000000001</v>
      </c>
      <c r="E328" s="366">
        <v>14.78</v>
      </c>
      <c r="F328" s="366">
        <f t="shared" si="133"/>
        <v>-19172.503200000017</v>
      </c>
      <c r="G328" s="366">
        <f t="shared" si="134"/>
        <v>140043.3432</v>
      </c>
      <c r="H328" s="367">
        <f t="shared" si="135"/>
        <v>-0.13690406671182651</v>
      </c>
      <c r="I328" s="366">
        <v>17</v>
      </c>
    </row>
    <row r="329" spans="2:14" x14ac:dyDescent="0.25">
      <c r="B329" s="624">
        <v>42552</v>
      </c>
      <c r="C329" s="365">
        <v>7678</v>
      </c>
      <c r="D329" s="625">
        <v>17.2315</v>
      </c>
      <c r="E329" s="366">
        <v>15.48</v>
      </c>
      <c r="F329" s="366">
        <f t="shared" si="133"/>
        <v>-13448.017</v>
      </c>
      <c r="G329" s="366">
        <f t="shared" si="134"/>
        <v>132303.45699999999</v>
      </c>
      <c r="H329" s="367">
        <f t="shared" si="135"/>
        <v>-0.1016452427240809</v>
      </c>
      <c r="I329" s="366">
        <v>17</v>
      </c>
      <c r="N329" s="29"/>
    </row>
    <row r="330" spans="2:14" x14ac:dyDescent="0.25">
      <c r="B330" s="624">
        <v>42552</v>
      </c>
      <c r="C330" s="365">
        <v>7300</v>
      </c>
      <c r="D330" s="625">
        <v>17.313400000000001</v>
      </c>
      <c r="E330" s="366">
        <v>15.65</v>
      </c>
      <c r="F330" s="366">
        <f t="shared" si="133"/>
        <v>-12142.820000000009</v>
      </c>
      <c r="G330" s="366">
        <f t="shared" si="134"/>
        <v>126387.82</v>
      </c>
      <c r="H330" s="367">
        <f t="shared" si="135"/>
        <v>-9.6075871868032903E-2</v>
      </c>
      <c r="I330" s="366"/>
    </row>
    <row r="331" spans="2:14" x14ac:dyDescent="0.25">
      <c r="B331" s="624">
        <v>42552</v>
      </c>
      <c r="C331" s="365">
        <v>6800</v>
      </c>
      <c r="D331" s="625">
        <v>17.446100000000001</v>
      </c>
      <c r="E331" s="366">
        <v>15.7</v>
      </c>
      <c r="F331" s="366">
        <f t="shared" ref="F331:F352" si="136">C331*(E331-D331)</f>
        <v>-11873.480000000014</v>
      </c>
      <c r="G331" s="366">
        <f t="shared" ref="G331:G352" si="137">IF(C331=0, 0,D331*C331)</f>
        <v>118633.48000000001</v>
      </c>
      <c r="H331" s="367">
        <f t="shared" ref="H331:H352" si="138">IF(C331=0, D331, (E331-D331)/D331)</f>
        <v>-0.10008540590733757</v>
      </c>
      <c r="I331" s="366"/>
    </row>
    <row r="332" spans="2:14" x14ac:dyDescent="0.25">
      <c r="B332" s="624">
        <v>42552</v>
      </c>
      <c r="C332" s="365">
        <v>6000</v>
      </c>
      <c r="D332" s="625">
        <v>17.668199999999999</v>
      </c>
      <c r="E332" s="366">
        <v>15.68</v>
      </c>
      <c r="F332" s="366">
        <f t="shared" si="136"/>
        <v>-11929.199999999995</v>
      </c>
      <c r="G332" s="366">
        <f t="shared" si="137"/>
        <v>106009.2</v>
      </c>
      <c r="H332" s="367">
        <f t="shared" si="138"/>
        <v>-0.11252985589929926</v>
      </c>
      <c r="I332" s="366"/>
    </row>
    <row r="333" spans="2:14" x14ac:dyDescent="0.25">
      <c r="B333" s="624">
        <v>42556</v>
      </c>
      <c r="C333" s="365">
        <v>8178</v>
      </c>
      <c r="D333" s="625">
        <v>16.978899999999999</v>
      </c>
      <c r="E333" s="366">
        <v>14.72</v>
      </c>
      <c r="F333" s="366">
        <f t="shared" si="136"/>
        <v>-18473.284199999991</v>
      </c>
      <c r="G333" s="366">
        <f t="shared" si="137"/>
        <v>138853.4442</v>
      </c>
      <c r="H333" s="367">
        <f t="shared" si="138"/>
        <v>-0.13304159869013887</v>
      </c>
      <c r="I333" s="366">
        <v>16.75</v>
      </c>
    </row>
    <row r="334" spans="2:14" x14ac:dyDescent="0.25">
      <c r="B334" s="624">
        <v>42556</v>
      </c>
      <c r="C334" s="365">
        <v>8678</v>
      </c>
      <c r="D334" s="625">
        <v>16.843</v>
      </c>
      <c r="E334" s="366">
        <v>14.72</v>
      </c>
      <c r="F334" s="366">
        <f t="shared" si="136"/>
        <v>-18423.393999999993</v>
      </c>
      <c r="G334" s="366">
        <f t="shared" si="137"/>
        <v>146163.554</v>
      </c>
      <c r="H334" s="367">
        <f t="shared" si="138"/>
        <v>-0.12604642878347083</v>
      </c>
      <c r="I334" s="366"/>
    </row>
    <row r="335" spans="2:14" x14ac:dyDescent="0.25">
      <c r="B335" s="624">
        <v>42557</v>
      </c>
      <c r="C335" s="365">
        <v>8178</v>
      </c>
      <c r="D335" s="625">
        <v>16.960599999999999</v>
      </c>
      <c r="E335" s="366">
        <v>14.84</v>
      </c>
      <c r="F335" s="366">
        <f t="shared" si="136"/>
        <v>-17342.266799999998</v>
      </c>
      <c r="G335" s="366">
        <f t="shared" si="137"/>
        <v>138703.7868</v>
      </c>
      <c r="H335" s="367">
        <f t="shared" si="138"/>
        <v>-0.12503095409360515</v>
      </c>
      <c r="I335" s="366">
        <v>16.75</v>
      </c>
    </row>
    <row r="336" spans="2:14" x14ac:dyDescent="0.25">
      <c r="B336" s="624">
        <v>42557</v>
      </c>
      <c r="C336" s="365">
        <v>8678</v>
      </c>
      <c r="D336" s="625">
        <v>16.835000000000001</v>
      </c>
      <c r="E336" s="366">
        <v>14.84</v>
      </c>
      <c r="F336" s="366">
        <f t="shared" si="136"/>
        <v>-17312.610000000008</v>
      </c>
      <c r="G336" s="366">
        <f t="shared" si="137"/>
        <v>146094.13</v>
      </c>
      <c r="H336" s="367">
        <f t="shared" si="138"/>
        <v>-0.11850311850311855</v>
      </c>
      <c r="I336" s="366"/>
    </row>
    <row r="337" spans="2:9" x14ac:dyDescent="0.25">
      <c r="B337" s="624">
        <v>42559</v>
      </c>
      <c r="C337" s="365">
        <v>8678</v>
      </c>
      <c r="D337" s="625">
        <v>16.835000000000001</v>
      </c>
      <c r="E337" s="366">
        <v>14.92</v>
      </c>
      <c r="F337" s="366">
        <f t="shared" si="136"/>
        <v>-16618.370000000006</v>
      </c>
      <c r="G337" s="366">
        <f t="shared" si="137"/>
        <v>146094.13</v>
      </c>
      <c r="H337" s="367">
        <f t="shared" si="138"/>
        <v>-0.1137511137511138</v>
      </c>
      <c r="I337" s="366"/>
    </row>
    <row r="338" spans="2:9" x14ac:dyDescent="0.25">
      <c r="B338" s="624">
        <v>42562</v>
      </c>
      <c r="C338" s="365">
        <v>8678</v>
      </c>
      <c r="D338" s="625">
        <v>16.835000000000001</v>
      </c>
      <c r="E338" s="366">
        <v>14.69</v>
      </c>
      <c r="F338" s="366">
        <f t="shared" si="136"/>
        <v>-18614.310000000012</v>
      </c>
      <c r="G338" s="366">
        <f t="shared" si="137"/>
        <v>146094.13</v>
      </c>
      <c r="H338" s="367">
        <f t="shared" si="138"/>
        <v>-0.12741312741312749</v>
      </c>
      <c r="I338" s="366"/>
    </row>
    <row r="339" spans="2:9" x14ac:dyDescent="0.25">
      <c r="B339" s="624">
        <v>42563</v>
      </c>
      <c r="C339" s="365">
        <v>8678</v>
      </c>
      <c r="D339" s="625">
        <v>16.835000000000001</v>
      </c>
      <c r="E339" s="366">
        <v>15.6</v>
      </c>
      <c r="F339" s="366">
        <f t="shared" si="136"/>
        <v>-10717.330000000011</v>
      </c>
      <c r="G339" s="366">
        <f t="shared" si="137"/>
        <v>146094.13</v>
      </c>
      <c r="H339" s="367">
        <f t="shared" si="138"/>
        <v>-7.3359073359073421E-2</v>
      </c>
      <c r="I339" s="366"/>
    </row>
    <row r="340" spans="2:9" x14ac:dyDescent="0.25">
      <c r="B340" s="624">
        <v>42564</v>
      </c>
      <c r="C340" s="365">
        <v>8738</v>
      </c>
      <c r="D340" s="625">
        <v>16.816099999999999</v>
      </c>
      <c r="E340" s="366">
        <v>15.29</v>
      </c>
      <c r="F340" s="366">
        <f t="shared" si="136"/>
        <v>-13335.061799999996</v>
      </c>
      <c r="G340" s="366">
        <f t="shared" si="137"/>
        <v>146939.08179999999</v>
      </c>
      <c r="H340" s="367">
        <f t="shared" si="138"/>
        <v>-9.0752314745987453E-2</v>
      </c>
      <c r="I340" s="366"/>
    </row>
    <row r="341" spans="2:9" x14ac:dyDescent="0.25">
      <c r="B341" s="624">
        <v>42566</v>
      </c>
      <c r="C341" s="365">
        <v>8738</v>
      </c>
      <c r="D341" s="625">
        <v>16.816099999999999</v>
      </c>
      <c r="E341" s="366">
        <v>15.21</v>
      </c>
      <c r="F341" s="366">
        <f t="shared" si="136"/>
        <v>-14034.101799999982</v>
      </c>
      <c r="G341" s="366">
        <f t="shared" si="137"/>
        <v>146939.08179999999</v>
      </c>
      <c r="H341" s="367">
        <f t="shared" si="138"/>
        <v>-9.5509660384988079E-2</v>
      </c>
      <c r="I341" s="366"/>
    </row>
    <row r="342" spans="2:9" x14ac:dyDescent="0.25">
      <c r="B342" s="624">
        <v>42570</v>
      </c>
      <c r="C342" s="365">
        <v>9138</v>
      </c>
      <c r="D342" s="625">
        <v>16.733499999999999</v>
      </c>
      <c r="E342" s="366">
        <v>14.75</v>
      </c>
      <c r="F342" s="366">
        <f t="shared" si="136"/>
        <v>-18125.222999999994</v>
      </c>
      <c r="G342" s="366">
        <f t="shared" si="137"/>
        <v>152910.723</v>
      </c>
      <c r="H342" s="367">
        <f t="shared" si="138"/>
        <v>-0.1185346759494427</v>
      </c>
      <c r="I342" s="366"/>
    </row>
    <row r="343" spans="2:9" x14ac:dyDescent="0.25">
      <c r="B343" s="624">
        <v>42571</v>
      </c>
      <c r="C343" s="386">
        <v>9138</v>
      </c>
      <c r="D343" s="626">
        <v>16.7227</v>
      </c>
      <c r="E343" s="366">
        <v>14.84</v>
      </c>
      <c r="F343" s="366">
        <f t="shared" si="136"/>
        <v>-17204.112599999997</v>
      </c>
      <c r="G343" s="366">
        <f t="shared" si="137"/>
        <v>152812.03260000001</v>
      </c>
      <c r="H343" s="367">
        <f t="shared" si="138"/>
        <v>-0.11258349429218965</v>
      </c>
      <c r="I343" s="366"/>
    </row>
    <row r="344" spans="2:9" x14ac:dyDescent="0.25">
      <c r="B344" s="624">
        <v>42572</v>
      </c>
      <c r="C344" s="365">
        <v>9138</v>
      </c>
      <c r="D344" s="625">
        <v>16.718900000000001</v>
      </c>
      <c r="E344" s="366">
        <v>14.42</v>
      </c>
      <c r="F344" s="366">
        <f t="shared" si="136"/>
        <v>-21007.348200000015</v>
      </c>
      <c r="G344" s="366">
        <f t="shared" si="137"/>
        <v>152777.3082</v>
      </c>
      <c r="H344" s="367">
        <f t="shared" si="138"/>
        <v>-0.13750306539305823</v>
      </c>
      <c r="I344" s="366"/>
    </row>
    <row r="345" spans="2:9" x14ac:dyDescent="0.25">
      <c r="B345" s="624">
        <v>42573</v>
      </c>
      <c r="C345" s="365">
        <v>9278</v>
      </c>
      <c r="D345" s="625">
        <v>16.679099999999998</v>
      </c>
      <c r="E345" s="366">
        <v>14.11</v>
      </c>
      <c r="F345" s="366">
        <f t="shared" si="136"/>
        <v>-23836.109799999987</v>
      </c>
      <c r="G345" s="366">
        <f t="shared" si="137"/>
        <v>154748.68979999999</v>
      </c>
      <c r="H345" s="367">
        <f t="shared" si="138"/>
        <v>-0.15403109280476759</v>
      </c>
      <c r="I345" s="366"/>
    </row>
    <row r="346" spans="2:9" x14ac:dyDescent="0.25">
      <c r="B346" s="624">
        <v>42576</v>
      </c>
      <c r="C346" s="365">
        <v>9478</v>
      </c>
      <c r="D346" s="625">
        <v>16.613099999999999</v>
      </c>
      <c r="E346" s="366">
        <v>13.58</v>
      </c>
      <c r="F346" s="366">
        <f t="shared" si="136"/>
        <v>-28747.721799999992</v>
      </c>
      <c r="G346" s="366">
        <f t="shared" si="137"/>
        <v>157458.96179999999</v>
      </c>
      <c r="H346" s="367">
        <f t="shared" si="138"/>
        <v>-0.18257278894366491</v>
      </c>
      <c r="I346" s="366"/>
    </row>
    <row r="347" spans="2:9" x14ac:dyDescent="0.25">
      <c r="B347" s="624">
        <v>42577</v>
      </c>
      <c r="C347" s="386">
        <v>9278</v>
      </c>
      <c r="D347" s="626">
        <v>16.674199999999999</v>
      </c>
      <c r="E347" s="366">
        <v>13.78</v>
      </c>
      <c r="F347" s="366">
        <f t="shared" si="136"/>
        <v>-26852.387599999998</v>
      </c>
      <c r="G347" s="366">
        <f t="shared" si="137"/>
        <v>154703.22759999998</v>
      </c>
      <c r="H347" s="367">
        <f t="shared" si="138"/>
        <v>-0.17357354475776948</v>
      </c>
      <c r="I347" s="366">
        <v>16.53</v>
      </c>
    </row>
    <row r="348" spans="2:9" x14ac:dyDescent="0.25">
      <c r="B348" s="624">
        <v>42578</v>
      </c>
      <c r="C348" s="386">
        <v>9478</v>
      </c>
      <c r="D348" s="626">
        <v>16.6004</v>
      </c>
      <c r="E348" s="366">
        <v>13.13</v>
      </c>
      <c r="F348" s="366">
        <f t="shared" si="136"/>
        <v>-32892.451199999996</v>
      </c>
      <c r="G348" s="366">
        <f t="shared" si="137"/>
        <v>157338.5912</v>
      </c>
      <c r="H348" s="367">
        <f t="shared" si="138"/>
        <v>-0.20905520348907253</v>
      </c>
      <c r="I348" s="366"/>
    </row>
    <row r="349" spans="2:9" x14ac:dyDescent="0.25">
      <c r="B349" s="624">
        <v>42580</v>
      </c>
      <c r="C349" s="365">
        <v>9478</v>
      </c>
      <c r="D349" s="625">
        <v>16.599</v>
      </c>
      <c r="E349" s="366">
        <v>13.64</v>
      </c>
      <c r="F349" s="366">
        <f t="shared" si="136"/>
        <v>-28045.401999999998</v>
      </c>
      <c r="G349" s="366">
        <f t="shared" si="137"/>
        <v>157325.32200000001</v>
      </c>
      <c r="H349" s="368">
        <f t="shared" si="138"/>
        <v>-0.17826375082836313</v>
      </c>
      <c r="I349" s="366"/>
    </row>
    <row r="350" spans="2:9" x14ac:dyDescent="0.25">
      <c r="B350" s="624">
        <v>42580</v>
      </c>
      <c r="C350" s="365">
        <v>9278</v>
      </c>
      <c r="D350" s="625">
        <v>16.664000000000001</v>
      </c>
      <c r="E350" s="366">
        <v>13.64</v>
      </c>
      <c r="F350" s="366">
        <f t="shared" si="136"/>
        <v>-28056.67200000001</v>
      </c>
      <c r="G350" s="366">
        <f t="shared" si="137"/>
        <v>154608.592</v>
      </c>
      <c r="H350" s="368">
        <f t="shared" si="138"/>
        <v>-0.18146903504560732</v>
      </c>
      <c r="I350" s="366">
        <v>16.53</v>
      </c>
    </row>
    <row r="351" spans="2:9" x14ac:dyDescent="0.25">
      <c r="B351" s="624">
        <v>42583</v>
      </c>
      <c r="C351" s="365">
        <v>9478</v>
      </c>
      <c r="D351" s="625">
        <v>16.5871</v>
      </c>
      <c r="E351" s="366">
        <v>12.92</v>
      </c>
      <c r="F351" s="366">
        <f t="shared" si="136"/>
        <v>-34756.773799999995</v>
      </c>
      <c r="G351" s="366">
        <f t="shared" si="137"/>
        <v>157212.5338</v>
      </c>
      <c r="H351" s="368">
        <f t="shared" si="138"/>
        <v>-0.22108144280796521</v>
      </c>
      <c r="I351" s="366"/>
    </row>
    <row r="352" spans="2:9" x14ac:dyDescent="0.25">
      <c r="B352" s="624">
        <v>42584</v>
      </c>
      <c r="C352" s="365">
        <v>9678</v>
      </c>
      <c r="D352" s="625">
        <v>16.5063</v>
      </c>
      <c r="E352" s="366">
        <v>12.9</v>
      </c>
      <c r="F352" s="366">
        <f t="shared" si="136"/>
        <v>-34901.771399999991</v>
      </c>
      <c r="G352" s="366">
        <f t="shared" si="137"/>
        <v>159747.97140000001</v>
      </c>
      <c r="H352" s="368">
        <f t="shared" si="138"/>
        <v>-0.21848021664455386</v>
      </c>
      <c r="I352" s="366"/>
    </row>
    <row r="353" spans="2:9" ht="15" customHeight="1" x14ac:dyDescent="0.25">
      <c r="B353" s="624">
        <v>42585</v>
      </c>
      <c r="C353" s="365">
        <v>10078</v>
      </c>
      <c r="D353" s="625">
        <v>16.5063</v>
      </c>
      <c r="E353" s="366">
        <v>12.9</v>
      </c>
      <c r="F353" s="366">
        <f t="shared" ref="F353:F368" si="139">C353*(E353-D353)</f>
        <v>-36344.291399999995</v>
      </c>
      <c r="G353" s="366">
        <f t="shared" ref="G353:G368" si="140">IF(C353=0, 0,D353*C353)</f>
        <v>166350.4914</v>
      </c>
      <c r="H353" s="368">
        <f t="shared" ref="H353:H368" si="141">IF(C353=0, D353, (E353-D353)/D353)</f>
        <v>-0.21848021664455386</v>
      </c>
      <c r="I353" s="366"/>
    </row>
    <row r="354" spans="2:9" x14ac:dyDescent="0.25">
      <c r="B354" s="624">
        <v>42586</v>
      </c>
      <c r="C354" s="365">
        <v>9678</v>
      </c>
      <c r="D354" s="625">
        <v>16.489799999999999</v>
      </c>
      <c r="E354" s="366">
        <v>13.41</v>
      </c>
      <c r="F354" s="366">
        <f t="shared" si="139"/>
        <v>-29806.304399999986</v>
      </c>
      <c r="G354" s="366">
        <f t="shared" si="140"/>
        <v>159588.28439999997</v>
      </c>
      <c r="H354" s="368">
        <f t="shared" si="141"/>
        <v>-0.1867700032747516</v>
      </c>
      <c r="I354" s="366"/>
    </row>
    <row r="355" spans="2:9" x14ac:dyDescent="0.25">
      <c r="B355" s="624">
        <v>42586</v>
      </c>
      <c r="C355" s="365">
        <v>9278</v>
      </c>
      <c r="D355" s="625">
        <v>16.609200000000001</v>
      </c>
      <c r="E355" s="366">
        <v>13.66</v>
      </c>
      <c r="F355" s="366">
        <f t="shared" si="139"/>
        <v>-27362.67760000001</v>
      </c>
      <c r="G355" s="366">
        <f t="shared" si="140"/>
        <v>154100.15760000001</v>
      </c>
      <c r="H355" s="368">
        <f t="shared" si="141"/>
        <v>-0.17756424150470829</v>
      </c>
      <c r="I355" s="366">
        <v>16.53</v>
      </c>
    </row>
    <row r="356" spans="2:9" x14ac:dyDescent="0.25">
      <c r="B356" s="624">
        <v>42586</v>
      </c>
      <c r="C356" s="365">
        <v>9138</v>
      </c>
      <c r="D356" s="625">
        <v>16.6511</v>
      </c>
      <c r="E356" s="366">
        <v>13.87</v>
      </c>
      <c r="F356" s="366">
        <f t="shared" si="139"/>
        <v>-25413.691800000004</v>
      </c>
      <c r="G356" s="366">
        <f t="shared" si="140"/>
        <v>152157.7518</v>
      </c>
      <c r="H356" s="367">
        <f t="shared" si="141"/>
        <v>-0.1670219985466426</v>
      </c>
      <c r="I356" s="366"/>
    </row>
    <row r="357" spans="2:9" x14ac:dyDescent="0.25">
      <c r="B357" s="624">
        <v>42593</v>
      </c>
      <c r="C357" s="365">
        <v>8678</v>
      </c>
      <c r="D357" s="625">
        <v>16.760300000000001</v>
      </c>
      <c r="E357" s="366">
        <v>14.61</v>
      </c>
      <c r="F357" s="366">
        <f t="shared" si="139"/>
        <v>-18660.303400000012</v>
      </c>
      <c r="G357" s="366">
        <f t="shared" si="140"/>
        <v>145445.88340000002</v>
      </c>
      <c r="H357" s="367">
        <f t="shared" si="141"/>
        <v>-0.12829722618330228</v>
      </c>
      <c r="I357" s="366"/>
    </row>
    <row r="358" spans="2:9" x14ac:dyDescent="0.25">
      <c r="B358" s="624">
        <v>42597</v>
      </c>
      <c r="C358" s="365">
        <v>8678</v>
      </c>
      <c r="D358" s="625">
        <v>16.7471</v>
      </c>
      <c r="E358" s="366">
        <v>14.9</v>
      </c>
      <c r="F358" s="366">
        <f t="shared" si="139"/>
        <v>-16029.133799999994</v>
      </c>
      <c r="G358" s="366">
        <f t="shared" si="140"/>
        <v>145331.33379999999</v>
      </c>
      <c r="H358" s="367">
        <f t="shared" si="141"/>
        <v>-0.11029372249523794</v>
      </c>
      <c r="I358" s="366"/>
    </row>
    <row r="359" spans="2:9" x14ac:dyDescent="0.25">
      <c r="B359" s="624">
        <v>42598</v>
      </c>
      <c r="C359" s="365">
        <v>8178</v>
      </c>
      <c r="D359" s="625">
        <v>16.8429</v>
      </c>
      <c r="E359" s="366">
        <v>15.17</v>
      </c>
      <c r="F359" s="366">
        <f t="shared" si="139"/>
        <v>-13680.976200000003</v>
      </c>
      <c r="G359" s="366">
        <f t="shared" si="140"/>
        <v>137741.23620000001</v>
      </c>
      <c r="H359" s="367">
        <f t="shared" si="141"/>
        <v>-9.9323750660515728E-2</v>
      </c>
      <c r="I359" s="366">
        <v>16.75</v>
      </c>
    </row>
    <row r="360" spans="2:9" x14ac:dyDescent="0.25">
      <c r="B360" s="624">
        <v>42599</v>
      </c>
      <c r="C360" s="365">
        <v>7178</v>
      </c>
      <c r="D360" s="625">
        <v>17.009899999999998</v>
      </c>
      <c r="E360" s="366">
        <v>15.7</v>
      </c>
      <c r="F360" s="366">
        <f t="shared" si="139"/>
        <v>-9402.4621999999927</v>
      </c>
      <c r="G360" s="366">
        <f t="shared" si="140"/>
        <v>122097.06219999999</v>
      </c>
      <c r="H360" s="367">
        <f t="shared" si="141"/>
        <v>-7.7008095285686515E-2</v>
      </c>
      <c r="I360" s="366"/>
    </row>
    <row r="361" spans="2:9" x14ac:dyDescent="0.25">
      <c r="B361" s="624">
        <v>42600</v>
      </c>
      <c r="C361" s="365">
        <v>5500</v>
      </c>
      <c r="D361" s="625">
        <v>17.185600000000001</v>
      </c>
      <c r="E361" s="366">
        <v>16.68</v>
      </c>
      <c r="F361" s="366">
        <f t="shared" si="139"/>
        <v>-2780.8000000000065</v>
      </c>
      <c r="G361" s="366">
        <f t="shared" si="140"/>
        <v>94520.8</v>
      </c>
      <c r="H361" s="367">
        <f t="shared" si="141"/>
        <v>-2.9419979517735846E-2</v>
      </c>
      <c r="I361" s="366"/>
    </row>
    <row r="362" spans="2:9" x14ac:dyDescent="0.25">
      <c r="B362" s="624">
        <v>42601</v>
      </c>
      <c r="C362" s="365">
        <v>5000</v>
      </c>
      <c r="D362" s="625">
        <v>17.222200000000001</v>
      </c>
      <c r="E362" s="366">
        <v>16.8</v>
      </c>
      <c r="F362" s="366">
        <f t="shared" si="139"/>
        <v>-2111.0000000000005</v>
      </c>
      <c r="G362" s="366">
        <f t="shared" si="140"/>
        <v>86111</v>
      </c>
      <c r="H362" s="367">
        <f t="shared" si="141"/>
        <v>-2.4514870341768188E-2</v>
      </c>
      <c r="I362" s="366"/>
    </row>
    <row r="363" spans="2:9" x14ac:dyDescent="0.25">
      <c r="B363" s="624">
        <v>42604</v>
      </c>
      <c r="C363" s="365">
        <v>6000</v>
      </c>
      <c r="D363" s="625">
        <v>16.9651</v>
      </c>
      <c r="E363" s="366">
        <v>15.64</v>
      </c>
      <c r="F363" s="366">
        <f t="shared" si="139"/>
        <v>-7950.599999999994</v>
      </c>
      <c r="G363" s="366">
        <f t="shared" si="140"/>
        <v>101790.59999999999</v>
      </c>
      <c r="H363" s="367">
        <f t="shared" si="141"/>
        <v>-7.8107408739117312E-2</v>
      </c>
      <c r="I363" s="366"/>
    </row>
    <row r="364" spans="2:9" ht="15" customHeight="1" x14ac:dyDescent="0.25">
      <c r="B364" s="624">
        <v>42604</v>
      </c>
      <c r="C364" s="365">
        <v>6500</v>
      </c>
      <c r="D364" s="625">
        <v>16.850899999999999</v>
      </c>
      <c r="E364" s="366">
        <v>15.64</v>
      </c>
      <c r="F364" s="366">
        <f t="shared" si="139"/>
        <v>-7870.8499999999922</v>
      </c>
      <c r="G364" s="366">
        <f t="shared" si="140"/>
        <v>109530.84999999999</v>
      </c>
      <c r="H364" s="367">
        <f t="shared" si="141"/>
        <v>-7.1859663282079822E-2</v>
      </c>
      <c r="I364" s="366"/>
    </row>
    <row r="365" spans="2:9" x14ac:dyDescent="0.25">
      <c r="B365" s="624">
        <v>42605</v>
      </c>
      <c r="C365" s="365">
        <v>6000</v>
      </c>
      <c r="D365" s="625">
        <v>16.923500000000001</v>
      </c>
      <c r="E365" s="366">
        <v>16.43</v>
      </c>
      <c r="F365" s="366">
        <f t="shared" si="139"/>
        <v>-2961.0000000000055</v>
      </c>
      <c r="G365" s="366">
        <f t="shared" si="140"/>
        <v>101541</v>
      </c>
      <c r="H365" s="367">
        <f t="shared" si="141"/>
        <v>-2.9160634620498178E-2</v>
      </c>
      <c r="I365" s="366"/>
    </row>
    <row r="366" spans="2:9" x14ac:dyDescent="0.25">
      <c r="B366" s="624">
        <v>42605</v>
      </c>
      <c r="C366" s="365">
        <v>5500</v>
      </c>
      <c r="D366" s="625">
        <v>16.9848</v>
      </c>
      <c r="E366" s="366">
        <v>16.43</v>
      </c>
      <c r="F366" s="366">
        <f t="shared" si="139"/>
        <v>-3051.400000000001</v>
      </c>
      <c r="G366" s="366">
        <f t="shared" si="140"/>
        <v>93416.4</v>
      </c>
      <c r="H366" s="367">
        <f t="shared" si="141"/>
        <v>-3.266450002355048E-2</v>
      </c>
      <c r="I366" s="366"/>
    </row>
    <row r="367" spans="2:9" x14ac:dyDescent="0.25">
      <c r="B367" s="624">
        <v>42605</v>
      </c>
      <c r="C367" s="365">
        <v>5000</v>
      </c>
      <c r="D367" s="625">
        <v>17.035299999999999</v>
      </c>
      <c r="E367" s="366">
        <v>16.43</v>
      </c>
      <c r="F367" s="366">
        <f t="shared" si="139"/>
        <v>-3026.4999999999986</v>
      </c>
      <c r="G367" s="366">
        <f t="shared" si="140"/>
        <v>85176.5</v>
      </c>
      <c r="H367" s="367">
        <f t="shared" si="141"/>
        <v>-3.5532100990296606E-2</v>
      </c>
      <c r="I367" s="366"/>
    </row>
    <row r="368" spans="2:9" x14ac:dyDescent="0.25">
      <c r="B368" s="624">
        <v>42606</v>
      </c>
      <c r="C368" s="365">
        <v>5178</v>
      </c>
      <c r="D368" s="625">
        <v>17.0017</v>
      </c>
      <c r="E368" s="366">
        <v>16.059999999999999</v>
      </c>
      <c r="F368" s="366">
        <f t="shared" si="139"/>
        <v>-4876.1226000000042</v>
      </c>
      <c r="G368" s="366">
        <f t="shared" si="140"/>
        <v>88034.802599999995</v>
      </c>
      <c r="H368" s="367">
        <f t="shared" si="141"/>
        <v>-5.5388578789179958E-2</v>
      </c>
      <c r="I368" s="366"/>
    </row>
    <row r="369" spans="2:9" x14ac:dyDescent="0.25">
      <c r="B369" s="624">
        <v>42607</v>
      </c>
      <c r="C369" s="365">
        <v>5178</v>
      </c>
      <c r="D369" s="625">
        <v>17.0017</v>
      </c>
      <c r="E369" s="366">
        <v>16.010000000000002</v>
      </c>
      <c r="F369" s="366">
        <f>C369*(E369-D369)</f>
        <v>-5135.0225999999902</v>
      </c>
      <c r="G369" s="366">
        <f>IF(C369=0, 0,D369*C369)</f>
        <v>88034.802599999995</v>
      </c>
      <c r="H369" s="367">
        <f>IF(C369=0, D369, (E369-D369)/D369)</f>
        <v>-5.8329461171529789E-2</v>
      </c>
      <c r="I369" s="366"/>
    </row>
    <row r="370" spans="2:9" x14ac:dyDescent="0.25">
      <c r="B370" s="624">
        <v>42608</v>
      </c>
      <c r="C370" s="365">
        <v>6178</v>
      </c>
      <c r="D370" s="625">
        <v>16.825800000000001</v>
      </c>
      <c r="E370" s="366">
        <v>15.95</v>
      </c>
      <c r="F370" s="366">
        <f>C370*(E370-D370)</f>
        <v>-5410.6924000000108</v>
      </c>
      <c r="G370" s="366">
        <f>IF(C370=0, 0,D370*C370)</f>
        <v>103949.79240000001</v>
      </c>
      <c r="H370" s="367">
        <f>IF(C370=0, D370, (E370-D370)/D370)</f>
        <v>-5.2051016890727435E-2</v>
      </c>
      <c r="I370" s="366"/>
    </row>
    <row r="371" spans="2:9" x14ac:dyDescent="0.25">
      <c r="B371" s="624">
        <v>42611</v>
      </c>
      <c r="C371" s="365">
        <v>6178</v>
      </c>
      <c r="D371" s="625">
        <v>16.825800000000001</v>
      </c>
      <c r="E371" s="366">
        <v>15.99</v>
      </c>
      <c r="F371" s="366">
        <f t="shared" ref="F371:F376" si="142">C371*(E371-D371)</f>
        <v>-5163.5724000000046</v>
      </c>
      <c r="G371" s="366">
        <f t="shared" ref="G371:G376" si="143">IF(C371=0, 0,D371*C371)</f>
        <v>103949.79240000001</v>
      </c>
      <c r="H371" s="367">
        <f t="shared" ref="H371:H376" si="144">IF(C371=0, D371, (E371-D371)/D371)</f>
        <v>-4.9673715365688452E-2</v>
      </c>
      <c r="I371" s="366"/>
    </row>
    <row r="372" spans="2:9" x14ac:dyDescent="0.25">
      <c r="B372" s="624">
        <v>42612</v>
      </c>
      <c r="C372" s="365">
        <v>6678</v>
      </c>
      <c r="D372" s="625">
        <v>16.739999999999998</v>
      </c>
      <c r="E372" s="366">
        <v>15.55</v>
      </c>
      <c r="F372" s="446">
        <f t="shared" si="142"/>
        <v>-7946.8199999999852</v>
      </c>
      <c r="G372" s="366">
        <f t="shared" si="143"/>
        <v>111789.71999999999</v>
      </c>
      <c r="H372" s="368">
        <f t="shared" si="144"/>
        <v>-7.1087216248506446E-2</v>
      </c>
      <c r="I372" s="385"/>
    </row>
    <row r="373" spans="2:9" x14ac:dyDescent="0.25">
      <c r="B373" s="624">
        <v>42612</v>
      </c>
      <c r="C373" s="365">
        <v>7178</v>
      </c>
      <c r="D373" s="625">
        <v>16.6571</v>
      </c>
      <c r="E373" s="366">
        <v>15.55</v>
      </c>
      <c r="F373" s="366">
        <f t="shared" si="142"/>
        <v>-7946.7637999999934</v>
      </c>
      <c r="G373" s="366">
        <f t="shared" si="143"/>
        <v>119564.66379999999</v>
      </c>
      <c r="H373" s="367">
        <f t="shared" si="144"/>
        <v>-6.6464150422342369E-2</v>
      </c>
      <c r="I373" s="366"/>
    </row>
    <row r="374" spans="2:9" x14ac:dyDescent="0.25">
      <c r="B374" s="624">
        <v>42613</v>
      </c>
      <c r="C374" s="365">
        <v>7678</v>
      </c>
      <c r="D374" s="625">
        <v>16.565200000000001</v>
      </c>
      <c r="E374" s="366">
        <v>15.02</v>
      </c>
      <c r="F374" s="366">
        <f t="shared" si="142"/>
        <v>-11864.04560000001</v>
      </c>
      <c r="G374" s="366">
        <f t="shared" si="143"/>
        <v>127187.60560000001</v>
      </c>
      <c r="H374" s="367">
        <f t="shared" si="144"/>
        <v>-9.3279887957887692E-2</v>
      </c>
      <c r="I374" s="366" t="s">
        <v>259</v>
      </c>
    </row>
    <row r="375" spans="2:9" x14ac:dyDescent="0.25">
      <c r="B375" s="624">
        <v>42613</v>
      </c>
      <c r="C375" s="365">
        <v>8178</v>
      </c>
      <c r="D375" s="625">
        <v>16.474399999999999</v>
      </c>
      <c r="E375" s="366">
        <v>15.02</v>
      </c>
      <c r="F375" s="366">
        <f t="shared" si="142"/>
        <v>-11894.083199999997</v>
      </c>
      <c r="G375" s="366">
        <f t="shared" si="143"/>
        <v>134727.64319999999</v>
      </c>
      <c r="H375" s="367">
        <f t="shared" si="144"/>
        <v>-8.8282426067110162E-2</v>
      </c>
      <c r="I375" s="366" t="s">
        <v>260</v>
      </c>
    </row>
    <row r="376" spans="2:9" x14ac:dyDescent="0.25">
      <c r="B376" s="624">
        <v>42615</v>
      </c>
      <c r="C376" s="365">
        <v>7678</v>
      </c>
      <c r="D376" s="625">
        <v>16.528099999999998</v>
      </c>
      <c r="E376" s="366">
        <v>15.49</v>
      </c>
      <c r="F376" s="366">
        <f t="shared" si="142"/>
        <v>-7970.5317999999861</v>
      </c>
      <c r="G376" s="366">
        <f t="shared" si="143"/>
        <v>126902.75179999998</v>
      </c>
      <c r="H376" s="367">
        <f t="shared" si="144"/>
        <v>-6.2808187268953986E-2</v>
      </c>
      <c r="I376" s="366">
        <v>16.350000000000001</v>
      </c>
    </row>
    <row r="377" spans="2:9" x14ac:dyDescent="0.25">
      <c r="B377" s="624">
        <v>42616</v>
      </c>
      <c r="C377" s="365">
        <v>7678</v>
      </c>
      <c r="D377" s="625">
        <v>16.528099999999998</v>
      </c>
      <c r="E377" s="366">
        <v>15.64</v>
      </c>
      <c r="F377" s="366">
        <f>C377*(E377-D377)</f>
        <v>-6818.8317999999836</v>
      </c>
      <c r="G377" s="366">
        <f>IF(C377=0, 0,D377*C377)</f>
        <v>126902.75179999998</v>
      </c>
      <c r="H377" s="367">
        <f>IF(C377=0, D377, (E377-D377)/D377)</f>
        <v>-5.3732733950060681E-2</v>
      </c>
      <c r="I377" s="366"/>
    </row>
    <row r="378" spans="2:9" x14ac:dyDescent="0.25">
      <c r="B378" s="624">
        <v>42621</v>
      </c>
      <c r="C378" s="365">
        <v>7178</v>
      </c>
      <c r="D378" s="625">
        <v>16.545400000000001</v>
      </c>
      <c r="E378" s="366">
        <v>16.739999999999998</v>
      </c>
      <c r="F378" s="366">
        <f>C378*(E378-D378)</f>
        <v>1396.8387999999832</v>
      </c>
      <c r="G378" s="366">
        <f>IF(C378=0, 0,D378*C378)</f>
        <v>118762.8812</v>
      </c>
      <c r="H378" s="367">
        <f>IF(C378=0, D378, (E378-D378)/D378)</f>
        <v>1.1761577235968768E-2</v>
      </c>
      <c r="I378" s="366"/>
    </row>
    <row r="379" spans="2:9" x14ac:dyDescent="0.25">
      <c r="B379" s="624">
        <v>42621</v>
      </c>
      <c r="C379" s="386">
        <v>6678</v>
      </c>
      <c r="D379" s="626">
        <v>16.532299999999999</v>
      </c>
      <c r="E379" s="366">
        <v>16.739999999999998</v>
      </c>
      <c r="F379" s="366">
        <f>C379*(E379-D379)</f>
        <v>1387.0205999999941</v>
      </c>
      <c r="G379" s="366">
        <f>IF(C379=0, 0,D379*C379)</f>
        <v>110402.6994</v>
      </c>
      <c r="H379" s="367">
        <f>IF(C379=0, D379, (E379-D379)/D379)</f>
        <v>1.256328520532528E-2</v>
      </c>
      <c r="I379" s="366"/>
    </row>
    <row r="380" spans="2:9" x14ac:dyDescent="0.25">
      <c r="B380" s="624">
        <v>42621</v>
      </c>
      <c r="C380" s="365">
        <v>6458</v>
      </c>
      <c r="D380" s="625">
        <v>16.524263999999999</v>
      </c>
      <c r="E380" s="366">
        <v>16.739999999999998</v>
      </c>
      <c r="F380" s="366">
        <f>C380*(E380-D380)</f>
        <v>1393.2230879999981</v>
      </c>
      <c r="G380" s="366">
        <f>IF(C380=0, 0,D380*C380)</f>
        <v>106713.69691199998</v>
      </c>
      <c r="H380" s="367">
        <f>IF(C380=0, D380, (E380-D380)/D380)</f>
        <v>1.3055710075801242E-2</v>
      </c>
      <c r="I380" s="366"/>
    </row>
    <row r="381" spans="2:9" x14ac:dyDescent="0.25">
      <c r="B381" s="624">
        <v>42622</v>
      </c>
      <c r="C381" s="365">
        <v>7178</v>
      </c>
      <c r="D381" s="625">
        <v>16.477945999999999</v>
      </c>
      <c r="E381" s="366">
        <v>15.67</v>
      </c>
      <c r="F381" s="366">
        <f>C381*(E381-D381)</f>
        <v>-5799.4363879999955</v>
      </c>
      <c r="G381" s="366">
        <f>IF(C381=0, 0,D381*C381)</f>
        <v>118278.696388</v>
      </c>
      <c r="H381" s="367">
        <f>IF(C381=0, D381, (E381-D381)/D381)</f>
        <v>-4.9031960658203359E-2</v>
      </c>
      <c r="I381" s="366"/>
    </row>
    <row r="382" spans="2:9" x14ac:dyDescent="0.25">
      <c r="B382" s="624">
        <v>42622</v>
      </c>
      <c r="C382" s="365">
        <v>7678</v>
      </c>
      <c r="D382" s="625">
        <v>16.430541999999999</v>
      </c>
      <c r="E382" s="366">
        <v>15.67</v>
      </c>
      <c r="F382" s="366">
        <f t="shared" ref="F382:F388" si="145">C382*(E382-D382)</f>
        <v>-5839.4414759999936</v>
      </c>
      <c r="G382" s="366">
        <f t="shared" ref="G382:G388" si="146">IF(C382=0, 0,D382*C382)</f>
        <v>126153.70147599999</v>
      </c>
      <c r="H382" s="367">
        <f t="shared" ref="H382:H388" si="147">IF(C382=0, D382, (E382-D382)/D382)</f>
        <v>-4.6288308687564853E-2</v>
      </c>
      <c r="I382" s="366">
        <v>16.350000000000001</v>
      </c>
    </row>
    <row r="383" spans="2:9" x14ac:dyDescent="0.25">
      <c r="B383" s="624">
        <v>42625</v>
      </c>
      <c r="C383" s="386">
        <v>7678</v>
      </c>
      <c r="D383" s="626">
        <v>16.412330000000001</v>
      </c>
      <c r="E383" s="366">
        <v>15.47</v>
      </c>
      <c r="F383" s="366">
        <f t="shared" si="145"/>
        <v>-7235.2097400000011</v>
      </c>
      <c r="G383" s="366">
        <f t="shared" si="146"/>
        <v>126013.86974000001</v>
      </c>
      <c r="H383" s="367">
        <f t="shared" si="147"/>
        <v>-5.7415979327737135E-2</v>
      </c>
      <c r="I383" s="366"/>
    </row>
    <row r="384" spans="2:9" x14ac:dyDescent="0.25">
      <c r="B384" s="624">
        <v>42625</v>
      </c>
      <c r="C384" s="386">
        <v>7678</v>
      </c>
      <c r="D384" s="626">
        <v>16.355817999999999</v>
      </c>
      <c r="E384" s="366">
        <v>15.47</v>
      </c>
      <c r="F384" s="366">
        <f t="shared" si="145"/>
        <v>-6801.3106039999893</v>
      </c>
      <c r="G384" s="366">
        <f t="shared" si="146"/>
        <v>125579.970604</v>
      </c>
      <c r="H384" s="367">
        <f t="shared" si="147"/>
        <v>-5.4159198885680847E-2</v>
      </c>
      <c r="I384" s="366" t="s">
        <v>274</v>
      </c>
    </row>
    <row r="385" spans="2:9" ht="15" customHeight="1" x14ac:dyDescent="0.25">
      <c r="B385" s="624">
        <v>42626</v>
      </c>
      <c r="C385" s="365">
        <v>8278</v>
      </c>
      <c r="D385" s="625">
        <v>16.25066</v>
      </c>
      <c r="E385" s="366">
        <v>14.34</v>
      </c>
      <c r="F385" s="366">
        <f t="shared" si="145"/>
        <v>-15816.44348</v>
      </c>
      <c r="G385" s="366">
        <f t="shared" si="146"/>
        <v>134522.96348000001</v>
      </c>
      <c r="H385" s="368">
        <f t="shared" si="147"/>
        <v>-0.11757430159759666</v>
      </c>
      <c r="I385" s="366"/>
    </row>
    <row r="386" spans="2:9" x14ac:dyDescent="0.25">
      <c r="B386" s="624">
        <v>42626</v>
      </c>
      <c r="C386" s="365">
        <v>8678</v>
      </c>
      <c r="D386" s="625">
        <v>16.18149</v>
      </c>
      <c r="E386" s="366">
        <v>14.34</v>
      </c>
      <c r="F386" s="366">
        <f t="shared" si="145"/>
        <v>-15980.450220000002</v>
      </c>
      <c r="G386" s="366">
        <f t="shared" si="146"/>
        <v>140422.97021999999</v>
      </c>
      <c r="H386" s="368">
        <f t="shared" si="147"/>
        <v>-0.11380225183218605</v>
      </c>
      <c r="I386" s="366"/>
    </row>
    <row r="387" spans="2:9" x14ac:dyDescent="0.25">
      <c r="B387" s="624">
        <v>42626</v>
      </c>
      <c r="C387" s="365">
        <v>8978</v>
      </c>
      <c r="D387" s="625">
        <v>16.124635000000001</v>
      </c>
      <c r="E387" s="366">
        <v>14.34</v>
      </c>
      <c r="F387" s="366">
        <f t="shared" si="145"/>
        <v>-16022.453030000013</v>
      </c>
      <c r="G387" s="366">
        <f t="shared" si="146"/>
        <v>144766.97303000002</v>
      </c>
      <c r="H387" s="368">
        <f t="shared" si="147"/>
        <v>-0.11067754401882594</v>
      </c>
      <c r="I387" s="366"/>
    </row>
    <row r="388" spans="2:9" x14ac:dyDescent="0.25">
      <c r="B388" s="624">
        <v>42626</v>
      </c>
      <c r="C388" s="365">
        <v>9278</v>
      </c>
      <c r="D388" s="625">
        <v>16.064019999999999</v>
      </c>
      <c r="E388" s="366">
        <v>14.34</v>
      </c>
      <c r="F388" s="366">
        <f t="shared" si="145"/>
        <v>-15995.457559999995</v>
      </c>
      <c r="G388" s="366">
        <f t="shared" si="146"/>
        <v>149041.97756</v>
      </c>
      <c r="H388" s="368">
        <f t="shared" si="147"/>
        <v>-0.10732182853357998</v>
      </c>
      <c r="I388" s="366" t="s">
        <v>275</v>
      </c>
    </row>
    <row r="389" spans="2:9" x14ac:dyDescent="0.25">
      <c r="B389" s="624">
        <v>42627</v>
      </c>
      <c r="C389" s="365">
        <v>9478</v>
      </c>
      <c r="D389" s="625">
        <v>16.020790999999999</v>
      </c>
      <c r="E389" s="366">
        <v>14.01</v>
      </c>
      <c r="F389" s="366">
        <f t="shared" ref="F389:F396" si="148">C389*(E389-D389)</f>
        <v>-19058.277097999995</v>
      </c>
      <c r="G389" s="366">
        <f t="shared" ref="G389:G396" si="149">IF(C389=0, 0,D389*C389)</f>
        <v>151845.05709799999</v>
      </c>
      <c r="H389" s="368">
        <f t="shared" ref="H389:H396" si="150">IF(C389=0, D389, (E389-D389)/D389)</f>
        <v>-0.1255113433537707</v>
      </c>
      <c r="I389" s="366"/>
    </row>
    <row r="390" spans="2:9" x14ac:dyDescent="0.25">
      <c r="B390" s="624">
        <v>42628</v>
      </c>
      <c r="C390" s="365">
        <v>9478</v>
      </c>
      <c r="D390" s="625">
        <v>16.015726999999998</v>
      </c>
      <c r="E390" s="366">
        <v>14.26</v>
      </c>
      <c r="F390" s="366">
        <f t="shared" si="148"/>
        <v>-16640.780505999985</v>
      </c>
      <c r="G390" s="366">
        <f t="shared" si="149"/>
        <v>151797.06050599998</v>
      </c>
      <c r="H390" s="368">
        <f t="shared" si="150"/>
        <v>-0.1096251827968845</v>
      </c>
      <c r="I390" s="366"/>
    </row>
    <row r="391" spans="2:9" x14ac:dyDescent="0.25">
      <c r="B391" s="624">
        <v>42629</v>
      </c>
      <c r="C391" s="365">
        <v>9478</v>
      </c>
      <c r="D391" s="625">
        <v>16.015726999999998</v>
      </c>
      <c r="E391" s="366">
        <v>14.24</v>
      </c>
      <c r="F391" s="366">
        <f t="shared" si="148"/>
        <v>-16830.340505999982</v>
      </c>
      <c r="G391" s="366">
        <f t="shared" si="149"/>
        <v>151797.06050599998</v>
      </c>
      <c r="H391" s="368">
        <f t="shared" si="150"/>
        <v>-0.1108739553315312</v>
      </c>
      <c r="I391" s="366"/>
    </row>
    <row r="392" spans="2:9" x14ac:dyDescent="0.25">
      <c r="B392" s="624">
        <v>42632</v>
      </c>
      <c r="C392" s="365">
        <v>9678</v>
      </c>
      <c r="D392" s="625">
        <v>15.975311</v>
      </c>
      <c r="E392" s="366">
        <v>14.09</v>
      </c>
      <c r="F392" s="366">
        <f t="shared" si="148"/>
        <v>-18246.039857999996</v>
      </c>
      <c r="G392" s="366">
        <f t="shared" si="149"/>
        <v>154609.05985799999</v>
      </c>
      <c r="H392" s="367">
        <f t="shared" si="150"/>
        <v>-0.11801404054043141</v>
      </c>
      <c r="I392" s="366"/>
    </row>
    <row r="393" spans="2:9" x14ac:dyDescent="0.25">
      <c r="B393" s="624">
        <v>42633</v>
      </c>
      <c r="C393" s="365">
        <v>9878</v>
      </c>
      <c r="D393" s="625">
        <v>15.937544000000001</v>
      </c>
      <c r="E393" s="366">
        <v>13.87</v>
      </c>
      <c r="F393" s="366">
        <f t="shared" si="148"/>
        <v>-20423.199632000014</v>
      </c>
      <c r="G393" s="366">
        <f t="shared" si="149"/>
        <v>157431.05963200002</v>
      </c>
      <c r="H393" s="367">
        <f t="shared" si="150"/>
        <v>-0.12972789282966068</v>
      </c>
      <c r="I393" s="366"/>
    </row>
    <row r="394" spans="2:9" x14ac:dyDescent="0.25">
      <c r="B394" s="624">
        <v>42633</v>
      </c>
      <c r="C394" s="365">
        <v>10000</v>
      </c>
      <c r="D394" s="625">
        <v>15.915126000000001</v>
      </c>
      <c r="E394" s="366">
        <v>13.87</v>
      </c>
      <c r="F394" s="366">
        <f t="shared" si="148"/>
        <v>-20451.260000000017</v>
      </c>
      <c r="G394" s="366">
        <f t="shared" si="149"/>
        <v>159151.26</v>
      </c>
      <c r="H394" s="367">
        <f t="shared" si="150"/>
        <v>-0.12850203008132022</v>
      </c>
      <c r="I394" s="366"/>
    </row>
    <row r="395" spans="2:9" x14ac:dyDescent="0.25">
      <c r="B395" s="624">
        <v>42634</v>
      </c>
      <c r="C395" s="365">
        <v>9678</v>
      </c>
      <c r="D395" s="625">
        <v>15.969538999999999</v>
      </c>
      <c r="E395" s="366">
        <v>14.65</v>
      </c>
      <c r="F395" s="366">
        <f t="shared" si="148"/>
        <v>-12770.498441999989</v>
      </c>
      <c r="G395" s="366">
        <f t="shared" si="149"/>
        <v>154553.19844199999</v>
      </c>
      <c r="H395" s="367">
        <f t="shared" si="150"/>
        <v>-8.2628496664806608E-2</v>
      </c>
      <c r="I395" s="366"/>
    </row>
    <row r="396" spans="2:9" x14ac:dyDescent="0.25">
      <c r="B396" s="624">
        <v>42634</v>
      </c>
      <c r="C396" s="365">
        <v>9278</v>
      </c>
      <c r="D396" s="625">
        <v>16.026872999999998</v>
      </c>
      <c r="E396" s="366">
        <v>14.65</v>
      </c>
      <c r="F396" s="366">
        <f t="shared" si="148"/>
        <v>-12774.627693999981</v>
      </c>
      <c r="G396" s="366">
        <f t="shared" si="149"/>
        <v>148697.32769399998</v>
      </c>
      <c r="H396" s="367">
        <f t="shared" si="150"/>
        <v>-8.5910270830747718E-2</v>
      </c>
      <c r="I396" s="366">
        <v>16</v>
      </c>
    </row>
    <row r="397" spans="2:9" x14ac:dyDescent="0.25">
      <c r="B397" s="624">
        <v>42635</v>
      </c>
      <c r="C397" s="365">
        <v>9278</v>
      </c>
      <c r="D397" s="625">
        <v>16.026872999999998</v>
      </c>
      <c r="E397" s="366">
        <v>14.87</v>
      </c>
      <c r="F397" s="366">
        <f t="shared" ref="F397:F408" si="151">C397*(E397-D397)</f>
        <v>-10733.467693999992</v>
      </c>
      <c r="G397" s="366">
        <f t="shared" ref="G397:G408" si="152">IF(C397=0, 0,D397*C397)</f>
        <v>148697.32769399998</v>
      </c>
      <c r="H397" s="367">
        <f t="shared" ref="H397:H408" si="153">IF(C397=0, D397, (E397-D397)/D397)</f>
        <v>-7.2183326092369937E-2</v>
      </c>
      <c r="I397" s="366"/>
    </row>
    <row r="398" spans="2:9" x14ac:dyDescent="0.25">
      <c r="B398" s="624">
        <v>42636</v>
      </c>
      <c r="C398" s="365">
        <v>9478</v>
      </c>
      <c r="D398" s="625">
        <v>15.992122</v>
      </c>
      <c r="E398" s="366">
        <v>14.49</v>
      </c>
      <c r="F398" s="366">
        <f t="shared" si="151"/>
        <v>-14237.112315999999</v>
      </c>
      <c r="G398" s="366">
        <f t="shared" si="152"/>
        <v>151573.33231600001</v>
      </c>
      <c r="H398" s="367">
        <f t="shared" si="153"/>
        <v>-9.39288732289561E-2</v>
      </c>
      <c r="I398" s="366"/>
    </row>
    <row r="399" spans="2:9" x14ac:dyDescent="0.25">
      <c r="B399" s="624">
        <v>42639</v>
      </c>
      <c r="C399" s="365">
        <v>9278</v>
      </c>
      <c r="D399" s="625">
        <v>16.019549999999999</v>
      </c>
      <c r="E399" s="366">
        <v>14.41</v>
      </c>
      <c r="F399" s="366">
        <f t="shared" si="151"/>
        <v>-14933.404899999989</v>
      </c>
      <c r="G399" s="366">
        <f t="shared" si="152"/>
        <v>148629.38489999998</v>
      </c>
      <c r="H399" s="367">
        <f t="shared" si="153"/>
        <v>-0.10047410819904422</v>
      </c>
      <c r="I399" s="366">
        <v>16</v>
      </c>
    </row>
    <row r="400" spans="2:9" x14ac:dyDescent="0.25">
      <c r="B400" s="624">
        <v>42639</v>
      </c>
      <c r="C400" s="365">
        <v>9478</v>
      </c>
      <c r="D400" s="625">
        <v>15.987468</v>
      </c>
      <c r="E400" s="366">
        <v>14.41</v>
      </c>
      <c r="F400" s="366">
        <f t="shared" si="151"/>
        <v>-14951.241703999996</v>
      </c>
      <c r="G400" s="366">
        <f t="shared" si="152"/>
        <v>151529.221704</v>
      </c>
      <c r="H400" s="367">
        <f t="shared" si="153"/>
        <v>-9.8669032519721048E-2</v>
      </c>
      <c r="I400" s="366"/>
    </row>
    <row r="401" spans="2:9" x14ac:dyDescent="0.25">
      <c r="B401" s="624">
        <v>42639</v>
      </c>
      <c r="C401" s="365">
        <v>9678</v>
      </c>
      <c r="D401" s="625">
        <v>15.954266000000001</v>
      </c>
      <c r="E401" s="366">
        <v>14.41</v>
      </c>
      <c r="F401" s="366">
        <f t="shared" si="151"/>
        <v>-14945.406348000004</v>
      </c>
      <c r="G401" s="366">
        <f t="shared" si="152"/>
        <v>154405.386348</v>
      </c>
      <c r="H401" s="367">
        <f t="shared" si="153"/>
        <v>-9.6793296538994669E-2</v>
      </c>
      <c r="I401" s="366"/>
    </row>
    <row r="402" spans="2:9" x14ac:dyDescent="0.25">
      <c r="B402" s="624">
        <v>42640</v>
      </c>
      <c r="C402" s="365">
        <v>10000</v>
      </c>
      <c r="D402" s="625">
        <v>15.890373</v>
      </c>
      <c r="E402" s="366">
        <v>14.06</v>
      </c>
      <c r="F402" s="366">
        <f t="shared" si="151"/>
        <v>-18303.73</v>
      </c>
      <c r="G402" s="366">
        <f t="shared" si="152"/>
        <v>158903.73000000001</v>
      </c>
      <c r="H402" s="367">
        <f t="shared" si="153"/>
        <v>-0.11518754153851517</v>
      </c>
      <c r="I402" s="366"/>
    </row>
    <row r="403" spans="2:9" x14ac:dyDescent="0.25">
      <c r="B403" s="624">
        <v>42641</v>
      </c>
      <c r="C403" s="365">
        <v>9278</v>
      </c>
      <c r="D403" s="625">
        <v>15.968</v>
      </c>
      <c r="E403" s="366">
        <v>15.18</v>
      </c>
      <c r="F403" s="366">
        <f t="shared" si="151"/>
        <v>-7311.0640000000021</v>
      </c>
      <c r="G403" s="366">
        <f t="shared" si="152"/>
        <v>148151.10399999999</v>
      </c>
      <c r="H403" s="367">
        <f t="shared" si="153"/>
        <v>-4.9348697394789594E-2</v>
      </c>
      <c r="I403" s="366" t="s">
        <v>287</v>
      </c>
    </row>
    <row r="404" spans="2:9" x14ac:dyDescent="0.25">
      <c r="B404" s="624">
        <v>42641</v>
      </c>
      <c r="C404" s="365">
        <v>8978</v>
      </c>
      <c r="D404" s="625">
        <v>15.991466000000001</v>
      </c>
      <c r="E404" s="366">
        <v>15.18</v>
      </c>
      <c r="F404" s="366">
        <f t="shared" si="151"/>
        <v>-7285.3417480000098</v>
      </c>
      <c r="G404" s="366">
        <f t="shared" si="152"/>
        <v>143571.38174800001</v>
      </c>
      <c r="H404" s="367">
        <f t="shared" si="153"/>
        <v>-5.0743690415875634E-2</v>
      </c>
      <c r="I404" s="366"/>
    </row>
    <row r="405" spans="2:9" x14ac:dyDescent="0.25">
      <c r="B405" s="624">
        <v>42642</v>
      </c>
      <c r="C405" s="365">
        <v>8678</v>
      </c>
      <c r="D405" s="625">
        <v>16.016100000000002</v>
      </c>
      <c r="E405" s="366">
        <v>15.9</v>
      </c>
      <c r="F405" s="366">
        <f t="shared" si="151"/>
        <v>-1007.5158000000105</v>
      </c>
      <c r="G405" s="366">
        <f t="shared" si="152"/>
        <v>138987.71580000001</v>
      </c>
      <c r="H405" s="367">
        <f t="shared" si="153"/>
        <v>-7.2489557382884214E-3</v>
      </c>
      <c r="I405" s="366"/>
    </row>
    <row r="406" spans="2:9" x14ac:dyDescent="0.25">
      <c r="B406" s="624">
        <v>42642</v>
      </c>
      <c r="C406" s="365">
        <v>7978</v>
      </c>
      <c r="D406" s="625">
        <v>16.036825</v>
      </c>
      <c r="E406" s="366">
        <v>15.9</v>
      </c>
      <c r="F406" s="366">
        <f t="shared" si="151"/>
        <v>-1091.5898499999998</v>
      </c>
      <c r="G406" s="366">
        <f t="shared" si="152"/>
        <v>127941.78985</v>
      </c>
      <c r="H406" s="367">
        <f t="shared" si="153"/>
        <v>-8.5319257396648009E-3</v>
      </c>
      <c r="I406" s="366"/>
    </row>
    <row r="407" spans="2:9" ht="15" customHeight="1" x14ac:dyDescent="0.25">
      <c r="B407" s="624">
        <v>42642</v>
      </c>
      <c r="C407" s="365">
        <v>7764</v>
      </c>
      <c r="D407" s="625">
        <v>16.038399999999999</v>
      </c>
      <c r="E407" s="366">
        <v>15.9</v>
      </c>
      <c r="F407" s="366">
        <f t="shared" si="151"/>
        <v>-1074.5375999999919</v>
      </c>
      <c r="G407" s="366">
        <f t="shared" si="152"/>
        <v>124522.1376</v>
      </c>
      <c r="H407" s="367">
        <f t="shared" si="153"/>
        <v>-8.6292897047086353E-3</v>
      </c>
      <c r="I407" s="366"/>
    </row>
    <row r="408" spans="2:9" x14ac:dyDescent="0.25">
      <c r="B408" s="624">
        <v>42642</v>
      </c>
      <c r="C408" s="365">
        <v>8178</v>
      </c>
      <c r="D408" s="625">
        <v>16.019235999999999</v>
      </c>
      <c r="E408" s="366">
        <v>15.9</v>
      </c>
      <c r="F408" s="366">
        <f t="shared" si="151"/>
        <v>-975.11200799999187</v>
      </c>
      <c r="G408" s="366">
        <f t="shared" si="152"/>
        <v>131005.31200799999</v>
      </c>
      <c r="H408" s="367">
        <f t="shared" si="153"/>
        <v>-7.4433012910228059E-3</v>
      </c>
      <c r="I408" s="366" t="s">
        <v>288</v>
      </c>
    </row>
    <row r="409" spans="2:9" x14ac:dyDescent="0.25">
      <c r="B409" s="624">
        <v>42643</v>
      </c>
      <c r="C409" s="365">
        <v>8178</v>
      </c>
      <c r="D409" s="625">
        <v>16.019235999999999</v>
      </c>
      <c r="E409" s="366">
        <v>15.81</v>
      </c>
      <c r="F409" s="366">
        <f>C409*(E409-D409)</f>
        <v>-1711.1320079999907</v>
      </c>
      <c r="G409" s="366">
        <f>IF(C409=0, 0,D409*C409)</f>
        <v>131005.31200799999</v>
      </c>
      <c r="H409" s="367">
        <f>IF(C409=0, D409, (E409-D409)/D409)</f>
        <v>-1.3061546755413234E-2</v>
      </c>
      <c r="I409" s="366"/>
    </row>
    <row r="410" spans="2:9" x14ac:dyDescent="0.25">
      <c r="B410" s="624">
        <v>42646</v>
      </c>
      <c r="C410" s="365">
        <v>8178</v>
      </c>
      <c r="D410" s="625">
        <v>16.019235999999999</v>
      </c>
      <c r="E410" s="366">
        <v>15.98</v>
      </c>
      <c r="F410" s="366">
        <f t="shared" ref="F410:F419" si="154">C410*(E410-D410)</f>
        <v>-320.8720079999913</v>
      </c>
      <c r="G410" s="366">
        <f t="shared" ref="G410:G419" si="155">IF(C410=0, 0,D410*C410)</f>
        <v>131005.31200799999</v>
      </c>
      <c r="H410" s="367">
        <f t="shared" ref="H410:H419" si="156">IF(C410=0, D410, (E410-D410)/D410)</f>
        <v>-2.4493053226757469E-3</v>
      </c>
      <c r="I410" s="366"/>
    </row>
    <row r="411" spans="2:9" x14ac:dyDescent="0.25">
      <c r="B411" s="624">
        <v>42647</v>
      </c>
      <c r="C411" s="365">
        <v>8678</v>
      </c>
      <c r="D411" s="625">
        <v>16.010061</v>
      </c>
      <c r="E411" s="366">
        <v>15.63</v>
      </c>
      <c r="F411" s="366">
        <f t="shared" si="154"/>
        <v>-3298.169357999996</v>
      </c>
      <c r="G411" s="366">
        <f t="shared" si="155"/>
        <v>138935.309358</v>
      </c>
      <c r="H411" s="367">
        <f t="shared" si="156"/>
        <v>-2.3738885192255015E-2</v>
      </c>
      <c r="I411" s="366"/>
    </row>
    <row r="412" spans="2:9" x14ac:dyDescent="0.25">
      <c r="B412" s="624">
        <v>42647</v>
      </c>
      <c r="C412" s="365">
        <v>9178</v>
      </c>
      <c r="D412" s="625">
        <v>15.988811</v>
      </c>
      <c r="E412" s="366">
        <v>15.63</v>
      </c>
      <c r="F412" s="366">
        <f t="shared" si="154"/>
        <v>-3293.1673579999938</v>
      </c>
      <c r="G412" s="366">
        <f t="shared" si="155"/>
        <v>146745.30735799999</v>
      </c>
      <c r="H412" s="367">
        <f t="shared" si="156"/>
        <v>-2.2441381038277287E-2</v>
      </c>
      <c r="I412" s="366"/>
    </row>
    <row r="413" spans="2:9" x14ac:dyDescent="0.25">
      <c r="B413" s="624">
        <v>42648</v>
      </c>
      <c r="C413" s="365">
        <v>8178</v>
      </c>
      <c r="D413" s="625">
        <v>15.977725</v>
      </c>
      <c r="E413" s="366">
        <v>16.12</v>
      </c>
      <c r="F413" s="366">
        <f t="shared" si="154"/>
        <v>1163.524950000012</v>
      </c>
      <c r="G413" s="366">
        <f t="shared" si="155"/>
        <v>130665.83504999999</v>
      </c>
      <c r="H413" s="367">
        <f t="shared" si="156"/>
        <v>8.904584351026288E-3</v>
      </c>
      <c r="I413" s="366">
        <v>15.75</v>
      </c>
    </row>
    <row r="414" spans="2:9" ht="15" customHeight="1" x14ac:dyDescent="0.25">
      <c r="B414" s="624">
        <v>42648</v>
      </c>
      <c r="C414" s="386">
        <v>7678</v>
      </c>
      <c r="D414" s="626">
        <v>15.951529000000001</v>
      </c>
      <c r="E414" s="366">
        <v>16.12</v>
      </c>
      <c r="F414" s="366">
        <f t="shared" si="154"/>
        <v>1293.5203380000021</v>
      </c>
      <c r="G414" s="366">
        <f t="shared" si="155"/>
        <v>122475.839662</v>
      </c>
      <c r="H414" s="367">
        <f t="shared" si="156"/>
        <v>1.0561432700275958E-2</v>
      </c>
      <c r="I414" s="366" t="s">
        <v>292</v>
      </c>
    </row>
    <row r="415" spans="2:9" x14ac:dyDescent="0.25">
      <c r="B415" s="624">
        <v>42649</v>
      </c>
      <c r="C415" s="365">
        <v>8678</v>
      </c>
      <c r="D415" s="625">
        <v>15.941579000000001</v>
      </c>
      <c r="E415" s="366">
        <v>16.079999999999998</v>
      </c>
      <c r="F415" s="366">
        <f t="shared" si="154"/>
        <v>1201.2174379999781</v>
      </c>
      <c r="G415" s="366">
        <f t="shared" si="155"/>
        <v>138341.022562</v>
      </c>
      <c r="H415" s="367">
        <f t="shared" si="156"/>
        <v>8.683016908174369E-3</v>
      </c>
      <c r="I415" s="366"/>
    </row>
    <row r="416" spans="2:9" x14ac:dyDescent="0.25">
      <c r="B416" s="624">
        <v>42650</v>
      </c>
      <c r="C416" s="365">
        <v>8978</v>
      </c>
      <c r="D416" s="625">
        <v>15.935176999999999</v>
      </c>
      <c r="E416" s="366">
        <v>15.56</v>
      </c>
      <c r="F416" s="366">
        <f t="shared" si="154"/>
        <v>-3368.3391059999908</v>
      </c>
      <c r="G416" s="366">
        <f t="shared" si="155"/>
        <v>143066.01910599999</v>
      </c>
      <c r="H416" s="367">
        <f t="shared" si="156"/>
        <v>-2.354394933925108E-2</v>
      </c>
      <c r="I416" s="366"/>
    </row>
    <row r="417" spans="2:9" x14ac:dyDescent="0.25">
      <c r="B417" s="624">
        <v>42650</v>
      </c>
      <c r="C417" s="365">
        <v>9278</v>
      </c>
      <c r="D417" s="625">
        <v>15.923692000000001</v>
      </c>
      <c r="E417" s="366">
        <v>15.56</v>
      </c>
      <c r="F417" s="366">
        <f t="shared" si="154"/>
        <v>-3374.3343760000034</v>
      </c>
      <c r="G417" s="366">
        <f t="shared" si="155"/>
        <v>147740.01437600001</v>
      </c>
      <c r="H417" s="367">
        <f t="shared" si="156"/>
        <v>-2.2839678134945106E-2</v>
      </c>
      <c r="I417" s="366">
        <v>15.8</v>
      </c>
    </row>
    <row r="418" spans="2:9" x14ac:dyDescent="0.25">
      <c r="B418" s="624">
        <v>42653</v>
      </c>
      <c r="C418" s="386">
        <v>9678</v>
      </c>
      <c r="D418" s="626">
        <v>15.9153</v>
      </c>
      <c r="E418" s="366">
        <v>15.72</v>
      </c>
      <c r="F418" s="366">
        <f t="shared" si="154"/>
        <v>-1890.1133999999961</v>
      </c>
      <c r="G418" s="366">
        <f t="shared" si="155"/>
        <v>154028.27340000001</v>
      </c>
      <c r="H418" s="367">
        <f t="shared" si="156"/>
        <v>-1.2271210721758281E-2</v>
      </c>
      <c r="I418" s="366"/>
    </row>
    <row r="419" spans="2:9" x14ac:dyDescent="0.25">
      <c r="B419" s="624">
        <v>42661</v>
      </c>
      <c r="C419" s="386">
        <v>10000</v>
      </c>
      <c r="D419" s="626">
        <v>15.901258</v>
      </c>
      <c r="E419" s="366">
        <v>14.2</v>
      </c>
      <c r="F419" s="366">
        <f t="shared" si="154"/>
        <v>-17012.580000000009</v>
      </c>
      <c r="G419" s="366">
        <f t="shared" si="155"/>
        <v>159012.58000000002</v>
      </c>
      <c r="H419" s="367">
        <f t="shared" si="156"/>
        <v>-0.10698889358313669</v>
      </c>
      <c r="I419" s="366"/>
    </row>
    <row r="420" spans="2:9" x14ac:dyDescent="0.25">
      <c r="B420" s="624">
        <v>42663</v>
      </c>
      <c r="C420" s="365">
        <v>10000</v>
      </c>
      <c r="D420" s="625">
        <v>15.901258</v>
      </c>
      <c r="E420" s="366">
        <v>14.7</v>
      </c>
      <c r="F420" s="366">
        <f>C420*(E420-D420)</f>
        <v>-12012.580000000011</v>
      </c>
      <c r="G420" s="366">
        <f>IF(C420=0, 0,D420*C420)</f>
        <v>159012.58000000002</v>
      </c>
      <c r="H420" s="368">
        <f>IF(C420=0, D420, (E420-D420)/D420)</f>
        <v>-7.5544840540289399E-2</v>
      </c>
      <c r="I420" s="366"/>
    </row>
    <row r="421" spans="2:9" x14ac:dyDescent="0.25">
      <c r="B421" s="624">
        <v>42668</v>
      </c>
      <c r="C421" s="365">
        <v>11000</v>
      </c>
      <c r="D421" s="625">
        <v>15.74728</v>
      </c>
      <c r="E421" s="366">
        <v>14.18</v>
      </c>
      <c r="F421" s="366">
        <f>C421*(E421-D421)</f>
        <v>-17240.080000000002</v>
      </c>
      <c r="G421" s="366">
        <f>IF(C421=0, 0,D421*C421)</f>
        <v>173220.08</v>
      </c>
      <c r="H421" s="368">
        <f>IF(C421=0, D421, (E421-D421)/D421)</f>
        <v>-9.9527029429844413E-2</v>
      </c>
      <c r="I421" s="366"/>
    </row>
    <row r="422" spans="2:9" x14ac:dyDescent="0.25">
      <c r="B422" s="624">
        <v>42670</v>
      </c>
      <c r="C422" s="365">
        <v>11500</v>
      </c>
      <c r="D422" s="625">
        <v>15.679137000000001</v>
      </c>
      <c r="E422" s="366">
        <v>13.95</v>
      </c>
      <c r="F422" s="366">
        <f>C422*(E422-D422)</f>
        <v>-19885.075500000017</v>
      </c>
      <c r="G422" s="366">
        <f>IF(C422=0, 0,D422*C422)</f>
        <v>180310.07550000001</v>
      </c>
      <c r="H422" s="368">
        <f>IF(C422=0, D422, (E422-D422)/D422)</f>
        <v>-0.11028266415428357</v>
      </c>
      <c r="I422" s="366"/>
    </row>
    <row r="423" spans="2:9" x14ac:dyDescent="0.25">
      <c r="B423" s="624">
        <v>42670</v>
      </c>
      <c r="C423" s="365">
        <v>12000</v>
      </c>
      <c r="D423" s="625">
        <v>15.6113</v>
      </c>
      <c r="E423" s="366">
        <v>13.95</v>
      </c>
      <c r="F423" s="366">
        <f t="shared" ref="F423:F430" si="157">C423*(E423-D423)</f>
        <v>-19935.600000000009</v>
      </c>
      <c r="G423" s="366">
        <f t="shared" ref="G423:G430" si="158">IF(C423=0, 0,D423*C423)</f>
        <v>187335.6</v>
      </c>
      <c r="H423" s="368">
        <f t="shared" ref="H423:H430" si="159">IF(C423=0, D423, (E423-D423)/D423)</f>
        <v>-0.10641650599245422</v>
      </c>
      <c r="I423" s="366"/>
    </row>
    <row r="424" spans="2:9" ht="15" customHeight="1" x14ac:dyDescent="0.25">
      <c r="B424" s="624">
        <v>42670</v>
      </c>
      <c r="C424" s="365">
        <v>12500</v>
      </c>
      <c r="D424" s="625">
        <v>15.542006000000001</v>
      </c>
      <c r="E424" s="366">
        <v>13.95</v>
      </c>
      <c r="F424" s="366">
        <f t="shared" si="157"/>
        <v>-19900.075000000015</v>
      </c>
      <c r="G424" s="366">
        <f t="shared" si="158"/>
        <v>194275.07500000001</v>
      </c>
      <c r="H424" s="368">
        <f t="shared" si="159"/>
        <v>-0.10243246592492637</v>
      </c>
      <c r="I424" s="366"/>
    </row>
    <row r="425" spans="2:9" x14ac:dyDescent="0.25">
      <c r="B425" s="624">
        <v>42671</v>
      </c>
      <c r="C425" s="365">
        <v>12500</v>
      </c>
      <c r="D425" s="625">
        <v>15.536431</v>
      </c>
      <c r="E425" s="366">
        <v>13.72</v>
      </c>
      <c r="F425" s="366">
        <f t="shared" si="157"/>
        <v>-22705.387499999997</v>
      </c>
      <c r="G425" s="366">
        <f t="shared" si="158"/>
        <v>194205.38750000001</v>
      </c>
      <c r="H425" s="368">
        <f t="shared" si="159"/>
        <v>-0.11691430290521676</v>
      </c>
      <c r="I425" s="366"/>
    </row>
    <row r="426" spans="2:9" x14ac:dyDescent="0.25">
      <c r="B426" s="624">
        <v>42674</v>
      </c>
      <c r="C426" s="365">
        <v>12500</v>
      </c>
      <c r="D426" s="625">
        <v>15.5313</v>
      </c>
      <c r="E426" s="366">
        <v>13.18</v>
      </c>
      <c r="F426" s="366">
        <f t="shared" si="157"/>
        <v>-29391.250000000004</v>
      </c>
      <c r="G426" s="366">
        <f t="shared" si="158"/>
        <v>194141.25</v>
      </c>
      <c r="H426" s="368">
        <f t="shared" si="159"/>
        <v>-0.15139106192012261</v>
      </c>
      <c r="I426" s="366"/>
    </row>
    <row r="427" spans="2:9" x14ac:dyDescent="0.25">
      <c r="B427" s="624">
        <v>42676</v>
      </c>
      <c r="C427" s="365">
        <v>12500</v>
      </c>
      <c r="D427" s="625">
        <v>15.528746</v>
      </c>
      <c r="E427" s="366">
        <v>12.78</v>
      </c>
      <c r="F427" s="366">
        <f t="shared" si="157"/>
        <v>-34359.325000000004</v>
      </c>
      <c r="G427" s="366">
        <f t="shared" si="158"/>
        <v>194109.32500000001</v>
      </c>
      <c r="H427" s="367">
        <f t="shared" si="159"/>
        <v>-0.17701017197396368</v>
      </c>
      <c r="I427" s="366"/>
    </row>
    <row r="428" spans="2:9" x14ac:dyDescent="0.25">
      <c r="B428" s="624">
        <v>42677</v>
      </c>
      <c r="C428" s="365">
        <v>10000</v>
      </c>
      <c r="D428" s="625">
        <v>15.813000000000001</v>
      </c>
      <c r="E428" s="366">
        <v>14.15</v>
      </c>
      <c r="F428" s="366">
        <f t="shared" si="157"/>
        <v>-16630.000000000004</v>
      </c>
      <c r="G428" s="366">
        <f t="shared" si="158"/>
        <v>158130</v>
      </c>
      <c r="H428" s="367">
        <f t="shared" si="159"/>
        <v>-0.10516663504711314</v>
      </c>
      <c r="I428" s="366"/>
    </row>
    <row r="429" spans="2:9" x14ac:dyDescent="0.25">
      <c r="B429" s="624">
        <v>42678</v>
      </c>
      <c r="C429" s="365">
        <v>11000</v>
      </c>
      <c r="D429" s="625">
        <v>15.62</v>
      </c>
      <c r="E429" s="366">
        <v>13.69</v>
      </c>
      <c r="F429" s="366">
        <f t="shared" si="157"/>
        <v>-21229.999999999996</v>
      </c>
      <c r="G429" s="366">
        <f t="shared" si="158"/>
        <v>171820</v>
      </c>
      <c r="H429" s="367">
        <f t="shared" si="159"/>
        <v>-0.12355953905249678</v>
      </c>
      <c r="I429" s="366"/>
    </row>
    <row r="430" spans="2:9" x14ac:dyDescent="0.25">
      <c r="B430" s="624">
        <v>42701</v>
      </c>
      <c r="C430" s="365">
        <v>7678</v>
      </c>
      <c r="D430" s="625">
        <v>15.484220000000001</v>
      </c>
      <c r="E430" s="366">
        <v>16.28</v>
      </c>
      <c r="F430" s="366">
        <f t="shared" si="157"/>
        <v>6109.9988400000047</v>
      </c>
      <c r="G430" s="366">
        <f t="shared" si="158"/>
        <v>118887.84116000001</v>
      </c>
      <c r="H430" s="367">
        <f t="shared" si="159"/>
        <v>5.1392966516879801E-2</v>
      </c>
      <c r="I430" s="366" t="s">
        <v>303</v>
      </c>
    </row>
    <row r="431" spans="2:9" ht="15" customHeight="1" x14ac:dyDescent="0.25">
      <c r="B431" s="624">
        <v>42702</v>
      </c>
      <c r="C431" s="365">
        <v>8178</v>
      </c>
      <c r="D431" s="625">
        <v>15.519399999999999</v>
      </c>
      <c r="E431" s="366">
        <v>15.62</v>
      </c>
      <c r="F431" s="366">
        <f t="shared" ref="F431:F448" si="160">C431*(E431-D431)</f>
        <v>822.70680000000016</v>
      </c>
      <c r="G431" s="366">
        <f t="shared" ref="G431:G448" si="161">IF(C431=0, 0,D431*C431)</f>
        <v>126917.6532</v>
      </c>
      <c r="H431" s="367">
        <f t="shared" ref="H431:H448" si="162">IF(C431=0, D431, (E431-D431)/D431)</f>
        <v>6.4822093637640649E-3</v>
      </c>
      <c r="I431" s="366" t="s">
        <v>308</v>
      </c>
    </row>
    <row r="432" spans="2:9" x14ac:dyDescent="0.25">
      <c r="B432" s="624">
        <v>42702</v>
      </c>
      <c r="C432" s="365">
        <v>8678</v>
      </c>
      <c r="D432" s="625">
        <v>15.5304</v>
      </c>
      <c r="E432" s="366">
        <v>15.54</v>
      </c>
      <c r="F432" s="366">
        <f t="shared" si="160"/>
        <v>83.308799999990825</v>
      </c>
      <c r="G432" s="366">
        <f t="shared" si="161"/>
        <v>134772.8112</v>
      </c>
      <c r="H432" s="367">
        <f t="shared" si="162"/>
        <v>6.1814248184199655E-4</v>
      </c>
      <c r="I432" s="366"/>
    </row>
    <row r="433" spans="1:10" x14ac:dyDescent="0.25">
      <c r="B433" s="624">
        <v>42703</v>
      </c>
      <c r="C433" s="365">
        <v>8978</v>
      </c>
      <c r="D433" s="625">
        <v>15.5053</v>
      </c>
      <c r="E433" s="366">
        <v>14.95</v>
      </c>
      <c r="F433" s="366">
        <f t="shared" si="160"/>
        <v>-4985.4834000000074</v>
      </c>
      <c r="G433" s="366">
        <f t="shared" si="161"/>
        <v>139206.5834</v>
      </c>
      <c r="H433" s="367">
        <f t="shared" si="162"/>
        <v>-3.5813560524465882E-2</v>
      </c>
      <c r="I433" s="366"/>
    </row>
    <row r="434" spans="1:10" x14ac:dyDescent="0.25">
      <c r="B434" s="624">
        <v>42704</v>
      </c>
      <c r="C434" s="365">
        <v>5178</v>
      </c>
      <c r="D434" s="625">
        <v>14.3947</v>
      </c>
      <c r="E434" s="366">
        <v>18.059999999999999</v>
      </c>
      <c r="F434" s="366">
        <f t="shared" si="160"/>
        <v>18978.923399999992</v>
      </c>
      <c r="G434" s="366">
        <f t="shared" si="161"/>
        <v>74535.756600000008</v>
      </c>
      <c r="H434" s="367">
        <f t="shared" si="162"/>
        <v>0.25462843963403187</v>
      </c>
      <c r="I434" s="366"/>
    </row>
    <row r="435" spans="1:10" x14ac:dyDescent="0.25">
      <c r="B435" s="624">
        <v>42705</v>
      </c>
      <c r="C435" s="365">
        <v>4678</v>
      </c>
      <c r="D435" s="625">
        <v>13.905799999999999</v>
      </c>
      <c r="E435" s="366">
        <v>17.89</v>
      </c>
      <c r="F435" s="366">
        <f t="shared" si="160"/>
        <v>18638.087600000006</v>
      </c>
      <c r="G435" s="366">
        <f t="shared" si="161"/>
        <v>65051.332399999999</v>
      </c>
      <c r="H435" s="367">
        <f t="shared" si="162"/>
        <v>0.28651354111234173</v>
      </c>
      <c r="I435" s="366"/>
    </row>
    <row r="436" spans="1:10" x14ac:dyDescent="0.25">
      <c r="B436" s="624">
        <v>42705</v>
      </c>
      <c r="C436" s="365">
        <v>5000</v>
      </c>
      <c r="D436" s="625">
        <v>14.1645</v>
      </c>
      <c r="E436" s="366">
        <v>17.89</v>
      </c>
      <c r="F436" s="366">
        <f t="shared" si="160"/>
        <v>18627.5</v>
      </c>
      <c r="G436" s="366">
        <f t="shared" si="161"/>
        <v>70822.5</v>
      </c>
      <c r="H436" s="367">
        <f t="shared" si="162"/>
        <v>0.2630166966712556</v>
      </c>
      <c r="I436" s="366"/>
    </row>
    <row r="437" spans="1:10" ht="15" customHeight="1" x14ac:dyDescent="0.25">
      <c r="B437" s="624">
        <v>42708</v>
      </c>
      <c r="C437" s="365">
        <v>5000</v>
      </c>
      <c r="D437" s="625">
        <v>14.1645</v>
      </c>
      <c r="E437" s="366">
        <v>18.2</v>
      </c>
      <c r="F437" s="366">
        <f t="shared" si="160"/>
        <v>20177.499999999996</v>
      </c>
      <c r="G437" s="366">
        <f t="shared" si="161"/>
        <v>70822.5</v>
      </c>
      <c r="H437" s="367">
        <f t="shared" si="162"/>
        <v>0.28490239683716323</v>
      </c>
      <c r="I437" s="366"/>
    </row>
    <row r="438" spans="1:10" x14ac:dyDescent="0.25">
      <c r="B438" s="624">
        <v>42711</v>
      </c>
      <c r="C438" s="365">
        <v>5000</v>
      </c>
      <c r="D438" s="625">
        <v>14.143514</v>
      </c>
      <c r="E438" s="366">
        <v>18.420000000000002</v>
      </c>
      <c r="F438" s="366">
        <f t="shared" si="160"/>
        <v>21382.430000000011</v>
      </c>
      <c r="G438" s="366">
        <f t="shared" si="161"/>
        <v>70717.569999999992</v>
      </c>
      <c r="H438" s="367">
        <f t="shared" si="162"/>
        <v>0.3023637548631834</v>
      </c>
      <c r="I438" s="366"/>
    </row>
    <row r="439" spans="1:10" x14ac:dyDescent="0.25">
      <c r="B439" s="624">
        <v>42713</v>
      </c>
      <c r="C439" s="365">
        <v>5000</v>
      </c>
      <c r="D439" s="625">
        <v>14.127554</v>
      </c>
      <c r="E439" s="366">
        <v>18.25</v>
      </c>
      <c r="F439" s="366">
        <f t="shared" si="160"/>
        <v>20612.23</v>
      </c>
      <c r="G439" s="366">
        <f t="shared" si="161"/>
        <v>70637.77</v>
      </c>
      <c r="H439" s="367">
        <f t="shared" si="162"/>
        <v>0.29180182216964096</v>
      </c>
      <c r="I439" s="366"/>
    </row>
    <row r="440" spans="1:10" x14ac:dyDescent="0.25">
      <c r="B440" s="624">
        <v>42716</v>
      </c>
      <c r="C440" s="365">
        <v>5000</v>
      </c>
      <c r="D440" s="625">
        <v>14.0276</v>
      </c>
      <c r="E440" s="366">
        <v>18.489999999999998</v>
      </c>
      <c r="F440" s="366">
        <f t="shared" si="160"/>
        <v>22311.999999999993</v>
      </c>
      <c r="G440" s="366">
        <f t="shared" si="161"/>
        <v>70138</v>
      </c>
      <c r="H440" s="367">
        <f t="shared" si="162"/>
        <v>0.3181157147338104</v>
      </c>
      <c r="I440" s="366" t="s">
        <v>185</v>
      </c>
    </row>
    <row r="441" spans="1:10" x14ac:dyDescent="0.25">
      <c r="B441" s="624">
        <v>42718</v>
      </c>
      <c r="C441" s="365">
        <v>5000</v>
      </c>
      <c r="D441" s="625">
        <v>14.025399999999999</v>
      </c>
      <c r="E441" s="366">
        <v>18.2</v>
      </c>
      <c r="F441" s="366">
        <f t="shared" si="160"/>
        <v>20873</v>
      </c>
      <c r="G441" s="366">
        <f t="shared" si="161"/>
        <v>70127</v>
      </c>
      <c r="H441" s="367">
        <f t="shared" si="162"/>
        <v>0.29764569994438661</v>
      </c>
      <c r="I441" s="366">
        <v>13.8</v>
      </c>
    </row>
    <row r="442" spans="1:10" x14ac:dyDescent="0.25">
      <c r="B442" s="624">
        <v>42726</v>
      </c>
      <c r="C442" s="365">
        <v>5000</v>
      </c>
      <c r="D442" s="625">
        <v>14.025399999999999</v>
      </c>
      <c r="E442" s="366">
        <v>18.04</v>
      </c>
      <c r="F442" s="366">
        <f t="shared" si="160"/>
        <v>20073</v>
      </c>
      <c r="G442" s="366">
        <f t="shared" si="161"/>
        <v>70127</v>
      </c>
      <c r="H442" s="367">
        <f t="shared" si="162"/>
        <v>0.28623782565916123</v>
      </c>
      <c r="I442" s="366"/>
    </row>
    <row r="443" spans="1:10" x14ac:dyDescent="0.25">
      <c r="B443" s="624">
        <v>42733</v>
      </c>
      <c r="C443" s="365">
        <v>6000</v>
      </c>
      <c r="D443" s="625">
        <v>14.627558000000001</v>
      </c>
      <c r="E443" s="366">
        <v>17.57</v>
      </c>
      <c r="F443" s="446">
        <f t="shared" si="160"/>
        <v>17654.651999999998</v>
      </c>
      <c r="G443" s="366">
        <f t="shared" si="161"/>
        <v>87765.347999999998</v>
      </c>
      <c r="H443" s="368">
        <f t="shared" si="162"/>
        <v>0.20115743174629694</v>
      </c>
      <c r="I443" s="366"/>
      <c r="J443" s="3"/>
    </row>
    <row r="444" spans="1:10" x14ac:dyDescent="0.25">
      <c r="B444" s="624">
        <v>42734</v>
      </c>
      <c r="C444" s="365">
        <v>6000</v>
      </c>
      <c r="D444" s="625">
        <v>14.562623</v>
      </c>
      <c r="E444" s="366">
        <v>17.309999999999999</v>
      </c>
      <c r="F444" s="446">
        <f t="shared" si="160"/>
        <v>16484.261999999992</v>
      </c>
      <c r="G444" s="366">
        <f t="shared" si="161"/>
        <v>87375.737999999998</v>
      </c>
      <c r="H444" s="368">
        <f t="shared" si="162"/>
        <v>0.18865948806063293</v>
      </c>
      <c r="I444" s="366"/>
    </row>
    <row r="445" spans="1:10" x14ac:dyDescent="0.25">
      <c r="B445" s="624">
        <v>42739</v>
      </c>
      <c r="C445" s="365">
        <v>5500</v>
      </c>
      <c r="D445" s="625">
        <v>14.242898</v>
      </c>
      <c r="E445" s="366">
        <v>18.05</v>
      </c>
      <c r="F445" s="446">
        <f t="shared" si="160"/>
        <v>20939.061000000002</v>
      </c>
      <c r="G445" s="366">
        <f t="shared" si="161"/>
        <v>78335.938999999998</v>
      </c>
      <c r="H445" s="368">
        <f t="shared" si="162"/>
        <v>0.26729827033796072</v>
      </c>
      <c r="I445" s="366"/>
    </row>
    <row r="446" spans="1:10" x14ac:dyDescent="0.25">
      <c r="B446" s="624">
        <v>42741</v>
      </c>
      <c r="C446" s="365">
        <v>6000</v>
      </c>
      <c r="D446" s="625">
        <v>14.54599</v>
      </c>
      <c r="E446" s="366">
        <v>17.98</v>
      </c>
      <c r="F446" s="446">
        <f t="shared" si="160"/>
        <v>20604.060000000005</v>
      </c>
      <c r="G446" s="366">
        <f t="shared" si="161"/>
        <v>87275.94</v>
      </c>
      <c r="H446" s="368">
        <f t="shared" si="162"/>
        <v>0.23607949682352322</v>
      </c>
      <c r="I446" s="366"/>
    </row>
    <row r="447" spans="1:10" x14ac:dyDescent="0.25">
      <c r="B447" s="624">
        <v>42748</v>
      </c>
      <c r="C447" s="365">
        <v>6000</v>
      </c>
      <c r="D447" s="625">
        <v>14.527687999999999</v>
      </c>
      <c r="E447" s="366">
        <v>17.46</v>
      </c>
      <c r="F447" s="446">
        <f t="shared" si="160"/>
        <v>17593.872000000007</v>
      </c>
      <c r="G447" s="366">
        <f t="shared" si="161"/>
        <v>87166.127999999997</v>
      </c>
      <c r="H447" s="368">
        <f t="shared" si="162"/>
        <v>0.20184299112150547</v>
      </c>
      <c r="I447" s="366"/>
    </row>
    <row r="448" spans="1:10" x14ac:dyDescent="0.25">
      <c r="A448" s="229" t="s">
        <v>333</v>
      </c>
      <c r="B448" s="624">
        <v>42754</v>
      </c>
      <c r="C448" s="365">
        <v>6000</v>
      </c>
      <c r="D448" s="625">
        <v>14.527687999999999</v>
      </c>
      <c r="E448" s="366">
        <v>17.27</v>
      </c>
      <c r="F448" s="446">
        <f t="shared" si="160"/>
        <v>16453.871999999999</v>
      </c>
      <c r="G448" s="366">
        <f t="shared" si="161"/>
        <v>87166.127999999997</v>
      </c>
      <c r="H448" s="368">
        <f t="shared" si="162"/>
        <v>0.1887645164185795</v>
      </c>
      <c r="I448" s="366"/>
    </row>
    <row r="449" spans="1:9" x14ac:dyDescent="0.25">
      <c r="A449" t="s">
        <v>333</v>
      </c>
      <c r="B449" s="624">
        <v>42760</v>
      </c>
      <c r="C449" s="365">
        <v>6000</v>
      </c>
      <c r="D449" s="625">
        <v>14.527687999999999</v>
      </c>
      <c r="E449" s="366">
        <v>17.75</v>
      </c>
      <c r="F449" s="446">
        <f t="shared" ref="F449:F463" si="163">C449*(E449-D449)</f>
        <v>19333.872000000003</v>
      </c>
      <c r="G449" s="366">
        <f t="shared" ref="G449:G463" si="164">IF(C449=0, 0,D449*C449)</f>
        <v>87166.127999999997</v>
      </c>
      <c r="H449" s="368">
        <f t="shared" ref="H449:H463" si="165">IF(C449=0, D449, (E449-D449)/D449)</f>
        <v>0.22180487356281334</v>
      </c>
      <c r="I449" s="366"/>
    </row>
    <row r="450" spans="1:9" x14ac:dyDescent="0.25">
      <c r="A450" t="s">
        <v>366</v>
      </c>
      <c r="B450" s="624">
        <v>42761</v>
      </c>
      <c r="C450" s="365">
        <v>6000</v>
      </c>
      <c r="D450" s="625">
        <v>14.50817</v>
      </c>
      <c r="E450" s="366">
        <v>17.75</v>
      </c>
      <c r="F450" s="446">
        <f t="shared" si="163"/>
        <v>19450.98</v>
      </c>
      <c r="G450" s="366">
        <f t="shared" si="164"/>
        <v>87049.02</v>
      </c>
      <c r="H450" s="368">
        <f t="shared" si="165"/>
        <v>0.22344858104088938</v>
      </c>
      <c r="I450" s="366"/>
    </row>
    <row r="451" spans="1:9" x14ac:dyDescent="0.25">
      <c r="A451" t="s">
        <v>369</v>
      </c>
      <c r="B451" s="624">
        <v>42762</v>
      </c>
      <c r="C451" s="365">
        <v>6100</v>
      </c>
      <c r="D451" s="625">
        <v>14.553610000000001</v>
      </c>
      <c r="E451" s="366">
        <v>17.41</v>
      </c>
      <c r="F451" s="446">
        <f t="shared" si="163"/>
        <v>17423.978999999996</v>
      </c>
      <c r="G451" s="366">
        <f t="shared" si="164"/>
        <v>88777.021000000008</v>
      </c>
      <c r="H451" s="368">
        <f t="shared" si="165"/>
        <v>0.19626676817641803</v>
      </c>
      <c r="I451" s="366"/>
    </row>
    <row r="452" spans="1:9" x14ac:dyDescent="0.25">
      <c r="A452" t="s">
        <v>380</v>
      </c>
      <c r="B452" s="624">
        <v>42765</v>
      </c>
      <c r="C452" s="365">
        <v>6900</v>
      </c>
      <c r="D452" s="625">
        <v>14.793915999999999</v>
      </c>
      <c r="E452" s="366">
        <v>16.53</v>
      </c>
      <c r="F452" s="446">
        <f t="shared" si="163"/>
        <v>11978.979600000011</v>
      </c>
      <c r="G452" s="366">
        <f t="shared" si="164"/>
        <v>102078.02039999999</v>
      </c>
      <c r="H452" s="368">
        <f t="shared" si="165"/>
        <v>0.11735121383682331</v>
      </c>
      <c r="I452" s="366"/>
    </row>
    <row r="453" spans="1:9" x14ac:dyDescent="0.25">
      <c r="A453" t="s">
        <v>381</v>
      </c>
      <c r="B453" s="624">
        <v>42766</v>
      </c>
      <c r="C453" s="365">
        <v>6900</v>
      </c>
      <c r="D453" s="625">
        <v>14.783497000000001</v>
      </c>
      <c r="E453" s="366">
        <v>16.75</v>
      </c>
      <c r="F453" s="446">
        <f t="shared" si="163"/>
        <v>13568.870699999996</v>
      </c>
      <c r="G453" s="366">
        <f t="shared" si="164"/>
        <v>102006.1293</v>
      </c>
      <c r="H453" s="368">
        <f t="shared" si="165"/>
        <v>0.13302015078029233</v>
      </c>
      <c r="I453" s="366"/>
    </row>
    <row r="454" spans="1:9" x14ac:dyDescent="0.25">
      <c r="B454" s="624">
        <v>42767</v>
      </c>
      <c r="C454" s="365">
        <v>6000</v>
      </c>
      <c r="D454" s="625">
        <v>14.442175000000001</v>
      </c>
      <c r="E454" s="366">
        <v>16.59</v>
      </c>
      <c r="F454" s="446">
        <f t="shared" si="163"/>
        <v>12886.949999999995</v>
      </c>
      <c r="G454" s="366">
        <f t="shared" si="164"/>
        <v>86653.05</v>
      </c>
      <c r="H454" s="368">
        <f t="shared" si="165"/>
        <v>0.14871894295699914</v>
      </c>
      <c r="I454" s="366"/>
    </row>
    <row r="455" spans="1:9" x14ac:dyDescent="0.25">
      <c r="B455" s="624">
        <v>42767</v>
      </c>
      <c r="C455" s="365">
        <v>7000</v>
      </c>
      <c r="D455" s="625">
        <v>14.725436</v>
      </c>
      <c r="E455" s="366">
        <v>16.59</v>
      </c>
      <c r="F455" s="446">
        <f t="shared" si="163"/>
        <v>13051.947999999999</v>
      </c>
      <c r="G455" s="366">
        <f t="shared" si="164"/>
        <v>103078.052</v>
      </c>
      <c r="H455" s="368">
        <f t="shared" si="165"/>
        <v>0.1266219893251378</v>
      </c>
      <c r="I455" s="366"/>
    </row>
    <row r="456" spans="1:9" x14ac:dyDescent="0.25">
      <c r="B456" s="624">
        <v>42767</v>
      </c>
      <c r="C456" s="365">
        <v>7200</v>
      </c>
      <c r="D456" s="625">
        <v>14.771951</v>
      </c>
      <c r="E456" s="366">
        <v>16.59</v>
      </c>
      <c r="F456" s="446">
        <f t="shared" si="163"/>
        <v>13089.952800000001</v>
      </c>
      <c r="G456" s="366">
        <f t="shared" si="164"/>
        <v>106358.0472</v>
      </c>
      <c r="H456" s="368">
        <f t="shared" si="165"/>
        <v>0.12307439958337259</v>
      </c>
      <c r="I456" s="366"/>
    </row>
    <row r="457" spans="1:9" x14ac:dyDescent="0.25">
      <c r="A457" t="s">
        <v>385</v>
      </c>
      <c r="B457" s="624">
        <v>42767</v>
      </c>
      <c r="C457" s="365">
        <v>6500</v>
      </c>
      <c r="D457" s="625">
        <v>14.578353999999999</v>
      </c>
      <c r="E457" s="366">
        <v>16.59</v>
      </c>
      <c r="F457" s="446">
        <f t="shared" si="163"/>
        <v>13075.699000000004</v>
      </c>
      <c r="G457" s="366">
        <f t="shared" si="164"/>
        <v>94759.300999999992</v>
      </c>
      <c r="H457" s="368">
        <f t="shared" si="165"/>
        <v>0.13798855481215511</v>
      </c>
      <c r="I457" s="366"/>
    </row>
    <row r="458" spans="1:9" ht="15" customHeight="1" x14ac:dyDescent="0.25">
      <c r="A458" t="s">
        <v>387</v>
      </c>
      <c r="B458" s="624">
        <v>42768</v>
      </c>
      <c r="C458" s="365">
        <v>6000</v>
      </c>
      <c r="D458" s="625">
        <v>14.368788</v>
      </c>
      <c r="E458" s="366">
        <v>16.68</v>
      </c>
      <c r="F458" s="446">
        <f t="shared" si="163"/>
        <v>13867.271999999995</v>
      </c>
      <c r="G458" s="366">
        <f>IF(C458=0, 0,D458*C458)</f>
        <v>86212.728000000003</v>
      </c>
      <c r="H458" s="368">
        <f t="shared" si="165"/>
        <v>0.16084947456946261</v>
      </c>
      <c r="I458" s="366"/>
    </row>
    <row r="459" spans="1:9" x14ac:dyDescent="0.25">
      <c r="A459" t="s">
        <v>395</v>
      </c>
      <c r="B459" s="624">
        <v>42769</v>
      </c>
      <c r="C459" s="365">
        <v>5300</v>
      </c>
      <c r="D459" s="625">
        <v>14.006677</v>
      </c>
      <c r="E459" s="366">
        <v>17.23</v>
      </c>
      <c r="F459" s="446">
        <f t="shared" si="163"/>
        <v>17083.611900000004</v>
      </c>
      <c r="G459" s="366">
        <f t="shared" si="164"/>
        <v>74235.388099999996</v>
      </c>
      <c r="H459" s="368">
        <f t="shared" si="165"/>
        <v>0.2301276027140485</v>
      </c>
      <c r="I459" s="366"/>
    </row>
    <row r="460" spans="1:9" x14ac:dyDescent="0.25">
      <c r="A460" t="s">
        <v>405</v>
      </c>
      <c r="B460" s="624">
        <v>42772</v>
      </c>
      <c r="C460" s="365">
        <v>6000</v>
      </c>
      <c r="D460" s="625">
        <v>14.311230999999999</v>
      </c>
      <c r="E460" s="366">
        <v>16.52</v>
      </c>
      <c r="F460" s="446">
        <f t="shared" si="163"/>
        <v>13252.614000000001</v>
      </c>
      <c r="G460" s="366">
        <f t="shared" si="164"/>
        <v>85867.385999999999</v>
      </c>
      <c r="H460" s="368">
        <f t="shared" si="165"/>
        <v>0.15433815581622576</v>
      </c>
      <c r="I460" s="366"/>
    </row>
    <row r="461" spans="1:9" x14ac:dyDescent="0.25">
      <c r="A461" t="s">
        <v>410</v>
      </c>
      <c r="B461" s="624">
        <v>42773</v>
      </c>
      <c r="C461" s="365">
        <v>6600</v>
      </c>
      <c r="D461" s="625">
        <v>14.461574000000001</v>
      </c>
      <c r="E461" s="366">
        <v>16.03</v>
      </c>
      <c r="F461" s="446">
        <f t="shared" si="163"/>
        <v>10351.611600000004</v>
      </c>
      <c r="G461" s="366">
        <f t="shared" si="164"/>
        <v>95446.388400000011</v>
      </c>
      <c r="H461" s="368">
        <f t="shared" si="165"/>
        <v>0.10845472283998965</v>
      </c>
      <c r="I461" s="366"/>
    </row>
    <row r="462" spans="1:9" x14ac:dyDescent="0.25">
      <c r="A462" t="s">
        <v>433</v>
      </c>
      <c r="B462" s="624">
        <v>42781</v>
      </c>
      <c r="C462" s="365">
        <v>5700</v>
      </c>
      <c r="D462" s="625">
        <v>14.140828000000001</v>
      </c>
      <c r="E462" s="366">
        <v>16.3</v>
      </c>
      <c r="F462" s="446">
        <f t="shared" si="163"/>
        <v>12307.2804</v>
      </c>
      <c r="G462" s="366">
        <f t="shared" si="164"/>
        <v>80602.719600000011</v>
      </c>
      <c r="H462" s="368">
        <f t="shared" si="165"/>
        <v>0.1526906345229572</v>
      </c>
      <c r="I462" s="366"/>
    </row>
    <row r="463" spans="1:9" x14ac:dyDescent="0.25">
      <c r="A463" t="s">
        <v>435</v>
      </c>
      <c r="B463" s="624">
        <v>42782</v>
      </c>
      <c r="C463" s="365">
        <v>5700</v>
      </c>
      <c r="D463" s="625">
        <v>14.103</v>
      </c>
      <c r="E463" s="366">
        <v>16.170000000000002</v>
      </c>
      <c r="F463" s="446">
        <f t="shared" si="163"/>
        <v>11781.900000000011</v>
      </c>
      <c r="G463" s="366">
        <f t="shared" si="164"/>
        <v>80387.100000000006</v>
      </c>
      <c r="H463" s="368">
        <f t="shared" si="165"/>
        <v>0.14656456073175933</v>
      </c>
      <c r="I463" s="366"/>
    </row>
    <row r="464" spans="1:9" x14ac:dyDescent="0.25">
      <c r="B464" s="624"/>
      <c r="C464" s="365"/>
      <c r="D464" s="625"/>
      <c r="E464" s="366"/>
      <c r="F464" s="446"/>
      <c r="G464" s="366"/>
      <c r="H464" s="368"/>
      <c r="I464" s="366"/>
    </row>
    <row r="465" spans="1:13" x14ac:dyDescent="0.25">
      <c r="B465" s="624"/>
      <c r="C465" s="365"/>
      <c r="D465" s="625"/>
      <c r="E465" s="366"/>
      <c r="F465" s="446"/>
      <c r="G465" s="366"/>
      <c r="H465" s="368"/>
      <c r="I465" s="366"/>
    </row>
    <row r="466" spans="1:13" x14ac:dyDescent="0.25">
      <c r="B466" s="624"/>
      <c r="C466" s="365"/>
      <c r="D466" s="625"/>
      <c r="E466" s="366"/>
      <c r="F466" s="446"/>
      <c r="G466" s="366"/>
      <c r="H466" s="368"/>
      <c r="I466" s="366"/>
    </row>
    <row r="467" spans="1:13" x14ac:dyDescent="0.25">
      <c r="B467" s="624"/>
      <c r="C467" s="365"/>
      <c r="D467" s="625"/>
      <c r="E467" s="366"/>
      <c r="F467" s="446"/>
      <c r="G467" s="366"/>
      <c r="H467" s="368"/>
      <c r="I467" s="366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4" t="s">
        <v>1</v>
      </c>
      <c r="B472" s="591" t="s">
        <v>2</v>
      </c>
      <c r="C472" s="514" t="s">
        <v>4</v>
      </c>
      <c r="D472" s="592" t="s">
        <v>5</v>
      </c>
      <c r="E472" s="515" t="s">
        <v>90</v>
      </c>
      <c r="F472" s="515" t="s">
        <v>60</v>
      </c>
      <c r="G472" s="514" t="s">
        <v>3</v>
      </c>
      <c r="H472" s="593" t="s">
        <v>6</v>
      </c>
      <c r="I472" s="592" t="s">
        <v>7</v>
      </c>
      <c r="J472" s="515" t="s">
        <v>89</v>
      </c>
      <c r="K472" s="515" t="s">
        <v>61</v>
      </c>
      <c r="L472" s="514" t="s">
        <v>37</v>
      </c>
      <c r="M472" s="515" t="s">
        <v>38</v>
      </c>
    </row>
    <row r="473" spans="1:13" x14ac:dyDescent="0.25">
      <c r="A473" s="516" t="s">
        <v>50</v>
      </c>
      <c r="B473" s="549">
        <v>42187</v>
      </c>
      <c r="C473" s="500">
        <v>1000</v>
      </c>
      <c r="D473" s="501">
        <v>27.25</v>
      </c>
      <c r="E473" s="502">
        <v>0</v>
      </c>
      <c r="F473" s="502">
        <f>C473*D473+E473</f>
        <v>27250</v>
      </c>
      <c r="G473" s="499">
        <v>42187</v>
      </c>
      <c r="H473" s="517">
        <v>2000</v>
      </c>
      <c r="I473" s="501">
        <v>27.34</v>
      </c>
      <c r="J473" s="502">
        <v>-5.49</v>
      </c>
      <c r="K473" s="502">
        <f>H473*I473-J473</f>
        <v>54685.49</v>
      </c>
      <c r="L473" s="499">
        <v>42257</v>
      </c>
      <c r="M473" s="502">
        <v>850.5</v>
      </c>
    </row>
    <row r="474" spans="1:13" x14ac:dyDescent="0.25">
      <c r="A474" s="518" t="s">
        <v>71</v>
      </c>
      <c r="B474" s="549">
        <v>42187</v>
      </c>
      <c r="C474" s="500">
        <v>80</v>
      </c>
      <c r="D474" s="501">
        <v>27.152249999999999</v>
      </c>
      <c r="E474" s="502">
        <v>0</v>
      </c>
      <c r="F474" s="502">
        <f t="shared" ref="F474:F537" si="166">C474*D474+E474</f>
        <v>2172.1799999999998</v>
      </c>
      <c r="G474" s="499">
        <v>42199</v>
      </c>
      <c r="H474" s="517">
        <v>102</v>
      </c>
      <c r="I474" s="501">
        <v>25.28</v>
      </c>
      <c r="J474" s="502">
        <v>0.05</v>
      </c>
      <c r="K474" s="502">
        <f t="shared" ref="K474:K501" si="167">H474*I474-J474</f>
        <v>2578.5099999999998</v>
      </c>
      <c r="L474" s="499">
        <v>42439</v>
      </c>
      <c r="M474" s="502">
        <v>483.9</v>
      </c>
    </row>
    <row r="475" spans="1:13" x14ac:dyDescent="0.25">
      <c r="A475" s="500"/>
      <c r="B475" s="549">
        <v>42187</v>
      </c>
      <c r="C475" s="500">
        <v>1000</v>
      </c>
      <c r="D475" s="501">
        <v>27.1</v>
      </c>
      <c r="E475" s="502">
        <v>0</v>
      </c>
      <c r="F475" s="502">
        <f t="shared" si="166"/>
        <v>27100</v>
      </c>
      <c r="G475" s="499">
        <v>42227</v>
      </c>
      <c r="H475" s="517">
        <v>200</v>
      </c>
      <c r="I475" s="501">
        <v>19.649999999999999</v>
      </c>
      <c r="J475" s="502">
        <v>7.0000000000000007E-2</v>
      </c>
      <c r="K475" s="502">
        <f t="shared" si="167"/>
        <v>3929.9299999999994</v>
      </c>
      <c r="L475" s="499">
        <v>42531</v>
      </c>
      <c r="M475" s="502">
        <v>483.9</v>
      </c>
    </row>
    <row r="476" spans="1:13" x14ac:dyDescent="0.25">
      <c r="A476" s="500"/>
      <c r="B476" s="612">
        <v>42187</v>
      </c>
      <c r="C476" s="500">
        <v>500</v>
      </c>
      <c r="D476" s="501">
        <v>27.039332999999999</v>
      </c>
      <c r="E476" s="502">
        <v>0</v>
      </c>
      <c r="F476" s="502">
        <f t="shared" si="166"/>
        <v>13519.666499999999</v>
      </c>
      <c r="G476" s="499">
        <v>42227</v>
      </c>
      <c r="H476" s="517">
        <v>200</v>
      </c>
      <c r="I476" s="501">
        <v>18.7</v>
      </c>
      <c r="J476" s="502">
        <v>7.0000000000000007E-2</v>
      </c>
      <c r="K476" s="502">
        <f t="shared" si="167"/>
        <v>3739.93</v>
      </c>
      <c r="L476" s="499">
        <v>42625</v>
      </c>
      <c r="M476" s="502">
        <v>433.9</v>
      </c>
    </row>
    <row r="477" spans="1:13" x14ac:dyDescent="0.25">
      <c r="A477" s="500"/>
      <c r="B477" s="612"/>
      <c r="C477" s="500">
        <v>500</v>
      </c>
      <c r="D477" s="501">
        <v>27.039332999999999</v>
      </c>
      <c r="E477" s="502">
        <v>0</v>
      </c>
      <c r="F477" s="502">
        <f t="shared" si="166"/>
        <v>13519.666499999999</v>
      </c>
      <c r="G477" s="499">
        <v>42257</v>
      </c>
      <c r="H477" s="517">
        <v>1600</v>
      </c>
      <c r="I477" s="501">
        <v>16.445</v>
      </c>
      <c r="J477" s="502">
        <v>0.48</v>
      </c>
      <c r="K477" s="502">
        <f t="shared" si="167"/>
        <v>26311.52</v>
      </c>
      <c r="L477" s="499">
        <v>42716</v>
      </c>
      <c r="M477" s="502">
        <v>500</v>
      </c>
    </row>
    <row r="478" spans="1:13" ht="15" customHeight="1" x14ac:dyDescent="0.25">
      <c r="A478" s="500"/>
      <c r="B478" s="612"/>
      <c r="C478" s="500">
        <v>500</v>
      </c>
      <c r="D478" s="501">
        <v>27.039332999999999</v>
      </c>
      <c r="E478" s="502">
        <v>0</v>
      </c>
      <c r="F478" s="502">
        <f t="shared" si="166"/>
        <v>13519.666499999999</v>
      </c>
      <c r="G478" s="613">
        <v>42265</v>
      </c>
      <c r="H478" s="517">
        <v>200</v>
      </c>
      <c r="I478" s="501">
        <v>15.65</v>
      </c>
      <c r="J478" s="502">
        <v>0.05</v>
      </c>
      <c r="K478" s="502">
        <f t="shared" si="167"/>
        <v>3129.95</v>
      </c>
      <c r="L478" s="500"/>
      <c r="M478" s="502"/>
    </row>
    <row r="479" spans="1:13" x14ac:dyDescent="0.25">
      <c r="A479" s="500"/>
      <c r="B479" s="612"/>
      <c r="C479" s="500">
        <v>500</v>
      </c>
      <c r="D479" s="501">
        <v>27.039332999999999</v>
      </c>
      <c r="E479" s="502">
        <v>0</v>
      </c>
      <c r="F479" s="502">
        <f t="shared" si="166"/>
        <v>13519.666499999999</v>
      </c>
      <c r="G479" s="613"/>
      <c r="H479" s="517">
        <v>2400</v>
      </c>
      <c r="I479" s="501">
        <v>15.7</v>
      </c>
      <c r="J479" s="502">
        <v>0.7</v>
      </c>
      <c r="K479" s="502">
        <f t="shared" si="167"/>
        <v>37679.300000000003</v>
      </c>
      <c r="L479" s="500"/>
      <c r="M479" s="502"/>
    </row>
    <row r="480" spans="1:13" x14ac:dyDescent="0.25">
      <c r="A480" s="500"/>
      <c r="B480" s="612"/>
      <c r="C480" s="500">
        <v>1000</v>
      </c>
      <c r="D480" s="501">
        <v>27.039332999999999</v>
      </c>
      <c r="E480" s="502">
        <v>0</v>
      </c>
      <c r="F480" s="502">
        <f t="shared" si="166"/>
        <v>27039.332999999999</v>
      </c>
      <c r="G480" s="499">
        <v>42271</v>
      </c>
      <c r="H480" s="594">
        <v>918</v>
      </c>
      <c r="I480" s="595">
        <v>16.45</v>
      </c>
      <c r="J480" s="596">
        <v>0.28000000000000003</v>
      </c>
      <c r="K480" s="596">
        <f t="shared" si="167"/>
        <v>15100.819999999998</v>
      </c>
      <c r="L480" s="500"/>
      <c r="M480" s="502"/>
    </row>
    <row r="481" spans="1:13" ht="60" x14ac:dyDescent="0.25">
      <c r="A481" s="500"/>
      <c r="B481" s="549">
        <v>42198</v>
      </c>
      <c r="C481" s="500">
        <v>100</v>
      </c>
      <c r="D481" s="501">
        <v>24.77</v>
      </c>
      <c r="E481" s="502">
        <v>0</v>
      </c>
      <c r="F481" s="502">
        <f t="shared" si="166"/>
        <v>2477</v>
      </c>
      <c r="G481" s="614" t="s">
        <v>139</v>
      </c>
      <c r="H481" s="517">
        <v>500</v>
      </c>
      <c r="I481" s="501">
        <v>15.95</v>
      </c>
      <c r="J481" s="502">
        <v>0.15</v>
      </c>
      <c r="K481" s="596">
        <f t="shared" si="167"/>
        <v>7974.85</v>
      </c>
      <c r="L481" s="500"/>
      <c r="M481" s="502"/>
    </row>
    <row r="482" spans="1:13" x14ac:dyDescent="0.25">
      <c r="A482" s="500"/>
      <c r="B482" s="549">
        <v>42205</v>
      </c>
      <c r="C482" s="500">
        <v>50</v>
      </c>
      <c r="D482" s="501">
        <v>24.35</v>
      </c>
      <c r="E482" s="502">
        <v>0</v>
      </c>
      <c r="F482" s="502">
        <f t="shared" si="166"/>
        <v>1217.5</v>
      </c>
      <c r="G482" s="614"/>
      <c r="H482" s="517">
        <v>500</v>
      </c>
      <c r="I482" s="501">
        <v>16.100000000000001</v>
      </c>
      <c r="J482" s="502">
        <v>0.15</v>
      </c>
      <c r="K482" s="596">
        <f t="shared" si="167"/>
        <v>8049.8500000000013</v>
      </c>
      <c r="L482" s="500"/>
      <c r="M482" s="502"/>
    </row>
    <row r="483" spans="1:13" x14ac:dyDescent="0.25">
      <c r="A483" s="500"/>
      <c r="B483" s="549">
        <v>42207</v>
      </c>
      <c r="C483" s="500">
        <v>20</v>
      </c>
      <c r="D483" s="501">
        <v>24.02</v>
      </c>
      <c r="E483" s="502">
        <v>0</v>
      </c>
      <c r="F483" s="502">
        <f t="shared" si="166"/>
        <v>480.4</v>
      </c>
      <c r="G483" s="614"/>
      <c r="H483" s="517">
        <v>500</v>
      </c>
      <c r="I483" s="501">
        <v>16.170000000000002</v>
      </c>
      <c r="J483" s="502">
        <v>0.15</v>
      </c>
      <c r="K483" s="596">
        <f t="shared" si="167"/>
        <v>8084.8500000000013</v>
      </c>
      <c r="L483" s="500"/>
      <c r="M483" s="502"/>
    </row>
    <row r="484" spans="1:13" x14ac:dyDescent="0.25">
      <c r="A484" s="500"/>
      <c r="B484" s="549">
        <v>42207</v>
      </c>
      <c r="C484" s="500">
        <v>20</v>
      </c>
      <c r="D484" s="501">
        <v>23.91</v>
      </c>
      <c r="E484" s="502">
        <v>0</v>
      </c>
      <c r="F484" s="502">
        <f t="shared" si="166"/>
        <v>478.2</v>
      </c>
      <c r="G484" s="614"/>
      <c r="H484" s="517">
        <v>500</v>
      </c>
      <c r="I484" s="501">
        <v>16.28</v>
      </c>
      <c r="J484" s="502">
        <v>0.15</v>
      </c>
      <c r="K484" s="596">
        <f t="shared" si="167"/>
        <v>8139.8500000000013</v>
      </c>
      <c r="L484" s="502"/>
      <c r="M484" s="502"/>
    </row>
    <row r="485" spans="1:13" x14ac:dyDescent="0.25">
      <c r="A485" s="500"/>
      <c r="B485" s="549">
        <v>42207</v>
      </c>
      <c r="C485" s="500">
        <v>20</v>
      </c>
      <c r="D485" s="501">
        <v>23.7</v>
      </c>
      <c r="E485" s="502">
        <v>0</v>
      </c>
      <c r="F485" s="502">
        <f t="shared" si="166"/>
        <v>474</v>
      </c>
      <c r="G485" s="614"/>
      <c r="H485" s="517">
        <v>500</v>
      </c>
      <c r="I485" s="501">
        <v>16.39</v>
      </c>
      <c r="J485" s="502">
        <v>0.15</v>
      </c>
      <c r="K485" s="596">
        <f t="shared" si="167"/>
        <v>8194.85</v>
      </c>
      <c r="L485" s="500"/>
      <c r="M485" s="502"/>
    </row>
    <row r="486" spans="1:13" x14ac:dyDescent="0.25">
      <c r="A486" s="500"/>
      <c r="B486" s="549">
        <v>42207</v>
      </c>
      <c r="C486" s="500">
        <v>20</v>
      </c>
      <c r="D486" s="501">
        <v>23.6</v>
      </c>
      <c r="E486" s="502">
        <v>0</v>
      </c>
      <c r="F486" s="502">
        <f t="shared" si="166"/>
        <v>472</v>
      </c>
      <c r="G486" s="614"/>
      <c r="H486" s="517">
        <v>500</v>
      </c>
      <c r="I486" s="501">
        <v>16.55</v>
      </c>
      <c r="J486" s="502">
        <v>0.17</v>
      </c>
      <c r="K486" s="596">
        <f t="shared" si="167"/>
        <v>8274.83</v>
      </c>
      <c r="L486" s="500"/>
      <c r="M486" s="502"/>
    </row>
    <row r="487" spans="1:13" ht="15" customHeight="1" x14ac:dyDescent="0.25">
      <c r="A487" s="500"/>
      <c r="B487" s="549">
        <v>42209</v>
      </c>
      <c r="C487" s="500">
        <v>40</v>
      </c>
      <c r="D487" s="501">
        <v>22.3</v>
      </c>
      <c r="E487" s="502">
        <v>0</v>
      </c>
      <c r="F487" s="502">
        <f t="shared" si="166"/>
        <v>892</v>
      </c>
      <c r="G487" s="614"/>
      <c r="H487" s="517">
        <v>50</v>
      </c>
      <c r="I487" s="501">
        <v>16.55</v>
      </c>
      <c r="J487" s="502">
        <v>0</v>
      </c>
      <c r="K487" s="596">
        <f t="shared" si="167"/>
        <v>827.5</v>
      </c>
      <c r="L487" s="500"/>
      <c r="M487" s="502"/>
    </row>
    <row r="488" spans="1:13" x14ac:dyDescent="0.25">
      <c r="A488" s="502"/>
      <c r="B488" s="549">
        <v>42221</v>
      </c>
      <c r="C488" s="500">
        <v>12</v>
      </c>
      <c r="D488" s="501">
        <v>20.95</v>
      </c>
      <c r="E488" s="502">
        <v>0</v>
      </c>
      <c r="F488" s="502">
        <f t="shared" si="166"/>
        <v>251.39999999999998</v>
      </c>
      <c r="G488" s="614"/>
      <c r="H488" s="517">
        <v>28</v>
      </c>
      <c r="I488" s="501">
        <v>16.68</v>
      </c>
      <c r="J488" s="502">
        <v>0.01</v>
      </c>
      <c r="K488" s="596">
        <f t="shared" si="167"/>
        <v>467.03</v>
      </c>
      <c r="L488" s="517"/>
      <c r="M488" s="502"/>
    </row>
    <row r="489" spans="1:13" x14ac:dyDescent="0.25">
      <c r="A489" s="500"/>
      <c r="B489" s="549">
        <v>42223</v>
      </c>
      <c r="C489" s="500">
        <v>100</v>
      </c>
      <c r="D489" s="501">
        <v>20.399999999999999</v>
      </c>
      <c r="E489" s="502">
        <v>0</v>
      </c>
      <c r="F489" s="502">
        <f t="shared" si="166"/>
        <v>2039.9999999999998</v>
      </c>
      <c r="G489" s="499">
        <v>42285</v>
      </c>
      <c r="H489" s="517">
        <v>632</v>
      </c>
      <c r="I489" s="501">
        <v>17.850000000000001</v>
      </c>
      <c r="J489" s="502">
        <v>0.21</v>
      </c>
      <c r="K489" s="596">
        <f t="shared" si="167"/>
        <v>11280.990000000002</v>
      </c>
      <c r="L489" s="502"/>
      <c r="M489" s="502"/>
    </row>
    <row r="490" spans="1:13" x14ac:dyDescent="0.25">
      <c r="A490" s="502"/>
      <c r="B490" s="549">
        <v>42226</v>
      </c>
      <c r="C490" s="500">
        <v>200</v>
      </c>
      <c r="D490" s="501">
        <v>19.95</v>
      </c>
      <c r="E490" s="502">
        <v>0</v>
      </c>
      <c r="F490" s="502">
        <f t="shared" si="166"/>
        <v>3990</v>
      </c>
      <c r="G490" s="499">
        <v>42297</v>
      </c>
      <c r="H490" s="517">
        <v>500</v>
      </c>
      <c r="I490" s="501">
        <v>19.149999999999999</v>
      </c>
      <c r="J490" s="502">
        <v>0.18</v>
      </c>
      <c r="K490" s="596">
        <f t="shared" si="167"/>
        <v>9574.82</v>
      </c>
      <c r="L490" s="500"/>
      <c r="M490" s="502"/>
    </row>
    <row r="491" spans="1:13" x14ac:dyDescent="0.25">
      <c r="A491" s="500"/>
      <c r="B491" s="549">
        <v>42226</v>
      </c>
      <c r="C491" s="500">
        <v>50</v>
      </c>
      <c r="D491" s="501">
        <v>20.010000000000002</v>
      </c>
      <c r="E491" s="502">
        <v>0</v>
      </c>
      <c r="F491" s="502">
        <f t="shared" si="166"/>
        <v>1000.5000000000001</v>
      </c>
      <c r="G491" s="499">
        <v>42300</v>
      </c>
      <c r="H491" s="517">
        <v>1000</v>
      </c>
      <c r="I491" s="501">
        <v>18.62</v>
      </c>
      <c r="J491" s="502">
        <v>0.34</v>
      </c>
      <c r="K491" s="596">
        <f t="shared" si="167"/>
        <v>18619.66</v>
      </c>
      <c r="L491" s="500"/>
      <c r="M491" s="502"/>
    </row>
    <row r="492" spans="1:13" x14ac:dyDescent="0.25">
      <c r="A492" s="500"/>
      <c r="B492" s="549">
        <v>42226</v>
      </c>
      <c r="C492" s="500">
        <v>100</v>
      </c>
      <c r="D492" s="501">
        <v>20.2</v>
      </c>
      <c r="E492" s="502">
        <v>0</v>
      </c>
      <c r="F492" s="502">
        <f t="shared" si="166"/>
        <v>2020</v>
      </c>
      <c r="G492" s="499">
        <v>42312</v>
      </c>
      <c r="H492" s="517">
        <v>2500</v>
      </c>
      <c r="I492" s="501">
        <v>18.48</v>
      </c>
      <c r="J492" s="502">
        <v>7.8</v>
      </c>
      <c r="K492" s="502">
        <f t="shared" si="167"/>
        <v>46192.2</v>
      </c>
      <c r="L492" s="500"/>
      <c r="M492" s="502"/>
    </row>
    <row r="493" spans="1:13" x14ac:dyDescent="0.25">
      <c r="A493" s="500"/>
      <c r="B493" s="549">
        <v>42227</v>
      </c>
      <c r="C493" s="500">
        <v>200</v>
      </c>
      <c r="D493" s="501">
        <v>18.399999999999999</v>
      </c>
      <c r="E493" s="502">
        <v>0</v>
      </c>
      <c r="F493" s="502">
        <f t="shared" si="166"/>
        <v>3679.9999999999995</v>
      </c>
      <c r="G493" s="499">
        <v>42313</v>
      </c>
      <c r="H493" s="517">
        <v>3000</v>
      </c>
      <c r="I493" s="501">
        <v>19.059999999999999</v>
      </c>
      <c r="J493" s="502">
        <v>1.05</v>
      </c>
      <c r="K493" s="502">
        <f t="shared" si="167"/>
        <v>57178.94999999999</v>
      </c>
      <c r="L493" s="500"/>
      <c r="M493" s="502"/>
    </row>
    <row r="494" spans="1:13" x14ac:dyDescent="0.25">
      <c r="A494" s="500"/>
      <c r="B494" s="549">
        <v>42227</v>
      </c>
      <c r="C494" s="500">
        <v>200</v>
      </c>
      <c r="D494" s="501">
        <v>19.55</v>
      </c>
      <c r="E494" s="502">
        <v>0</v>
      </c>
      <c r="F494" s="502">
        <f t="shared" si="166"/>
        <v>3910</v>
      </c>
      <c r="G494" s="499">
        <v>42324</v>
      </c>
      <c r="H494" s="517">
        <v>2500</v>
      </c>
      <c r="I494" s="501">
        <v>18.8</v>
      </c>
      <c r="J494" s="502">
        <v>0.86</v>
      </c>
      <c r="K494" s="502">
        <f t="shared" si="167"/>
        <v>46999.14</v>
      </c>
      <c r="L494" s="502"/>
      <c r="M494" s="502"/>
    </row>
    <row r="495" spans="1:13" x14ac:dyDescent="0.25">
      <c r="A495" s="500"/>
      <c r="B495" s="549">
        <v>42234</v>
      </c>
      <c r="C495" s="500">
        <v>40</v>
      </c>
      <c r="D495" s="501">
        <v>18.149999999999999</v>
      </c>
      <c r="E495" s="502">
        <v>0</v>
      </c>
      <c r="F495" s="502">
        <f t="shared" si="166"/>
        <v>726</v>
      </c>
      <c r="G495" s="499">
        <v>42335</v>
      </c>
      <c r="H495" s="517">
        <v>3078</v>
      </c>
      <c r="I495" s="501">
        <v>17.649999999999999</v>
      </c>
      <c r="J495" s="502">
        <v>1</v>
      </c>
      <c r="K495" s="502">
        <f t="shared" si="167"/>
        <v>54325.7</v>
      </c>
      <c r="L495" s="500"/>
      <c r="M495" s="502"/>
    </row>
    <row r="496" spans="1:13" x14ac:dyDescent="0.25">
      <c r="A496" s="500"/>
      <c r="B496" s="549">
        <v>42234</v>
      </c>
      <c r="C496" s="500">
        <v>100</v>
      </c>
      <c r="D496" s="501">
        <v>18</v>
      </c>
      <c r="E496" s="502">
        <v>0</v>
      </c>
      <c r="F496" s="502">
        <f t="shared" si="166"/>
        <v>1800</v>
      </c>
      <c r="G496" s="499">
        <v>42347</v>
      </c>
      <c r="H496" s="517">
        <v>500</v>
      </c>
      <c r="I496" s="501">
        <v>16.149999999999999</v>
      </c>
      <c r="J496" s="502">
        <v>0.15</v>
      </c>
      <c r="K496" s="502">
        <f t="shared" si="167"/>
        <v>8074.8499999999995</v>
      </c>
      <c r="L496" s="500"/>
      <c r="M496" s="502"/>
    </row>
    <row r="497" spans="1:13" x14ac:dyDescent="0.25">
      <c r="A497" s="500"/>
      <c r="B497" s="549">
        <v>42235</v>
      </c>
      <c r="C497" s="500">
        <v>100</v>
      </c>
      <c r="D497" s="501">
        <v>17.78</v>
      </c>
      <c r="E497" s="502">
        <v>0</v>
      </c>
      <c r="F497" s="502">
        <f t="shared" si="166"/>
        <v>1778</v>
      </c>
      <c r="G497" s="499">
        <v>42353</v>
      </c>
      <c r="H497" s="517">
        <v>600</v>
      </c>
      <c r="I497" s="501">
        <v>14.95</v>
      </c>
      <c r="J497" s="502">
        <v>0.17</v>
      </c>
      <c r="K497" s="502">
        <f t="shared" si="167"/>
        <v>8969.83</v>
      </c>
      <c r="L497" s="500"/>
      <c r="M497" s="502"/>
    </row>
    <row r="498" spans="1:13" x14ac:dyDescent="0.25">
      <c r="A498" s="500"/>
      <c r="B498" s="549">
        <v>42235</v>
      </c>
      <c r="C498" s="500">
        <v>100</v>
      </c>
      <c r="D498" s="501">
        <v>17.68</v>
      </c>
      <c r="E498" s="502">
        <v>0</v>
      </c>
      <c r="F498" s="502">
        <f t="shared" si="166"/>
        <v>1768</v>
      </c>
      <c r="G498" s="499">
        <v>42354</v>
      </c>
      <c r="H498" s="517">
        <v>500</v>
      </c>
      <c r="I498" s="501">
        <v>14.32</v>
      </c>
      <c r="J498" s="502">
        <v>0.13</v>
      </c>
      <c r="K498" s="502">
        <f t="shared" si="167"/>
        <v>7159.87</v>
      </c>
      <c r="L498" s="500"/>
      <c r="M498" s="502"/>
    </row>
    <row r="499" spans="1:13" x14ac:dyDescent="0.25">
      <c r="A499" s="500"/>
      <c r="B499" s="549">
        <v>42240</v>
      </c>
      <c r="C499" s="500">
        <v>100</v>
      </c>
      <c r="D499" s="501">
        <v>16.649999999999999</v>
      </c>
      <c r="E499" s="502">
        <v>0</v>
      </c>
      <c r="F499" s="502">
        <f t="shared" si="166"/>
        <v>1664.9999999999998</v>
      </c>
      <c r="G499" s="499">
        <v>42361</v>
      </c>
      <c r="H499" s="517">
        <v>500</v>
      </c>
      <c r="I499" s="501">
        <v>12.83</v>
      </c>
      <c r="J499" s="502">
        <v>0.12</v>
      </c>
      <c r="K499" s="502">
        <f t="shared" si="167"/>
        <v>6414.88</v>
      </c>
      <c r="L499" s="500"/>
      <c r="M499" s="502"/>
    </row>
    <row r="500" spans="1:13" x14ac:dyDescent="0.25">
      <c r="A500" s="500"/>
      <c r="B500" s="549">
        <v>42240</v>
      </c>
      <c r="C500" s="500">
        <v>100</v>
      </c>
      <c r="D500" s="501">
        <v>16.100000000000001</v>
      </c>
      <c r="E500" s="502">
        <v>0</v>
      </c>
      <c r="F500" s="502">
        <f t="shared" si="166"/>
        <v>1610.0000000000002</v>
      </c>
      <c r="G500" s="499">
        <v>42362</v>
      </c>
      <c r="H500" s="517">
        <v>1222</v>
      </c>
      <c r="I500" s="501">
        <v>12.75</v>
      </c>
      <c r="J500" s="502">
        <v>0.28999999999999998</v>
      </c>
      <c r="K500" s="502">
        <f t="shared" si="167"/>
        <v>15580.21</v>
      </c>
      <c r="L500" s="500"/>
      <c r="M500" s="502"/>
    </row>
    <row r="501" spans="1:13" x14ac:dyDescent="0.25">
      <c r="A501" s="500"/>
      <c r="B501" s="549">
        <v>42257</v>
      </c>
      <c r="C501" s="500">
        <v>1500</v>
      </c>
      <c r="D501" s="501">
        <v>16.350000000000001</v>
      </c>
      <c r="E501" s="502">
        <v>0</v>
      </c>
      <c r="F501" s="502">
        <f t="shared" si="166"/>
        <v>24525.000000000004</v>
      </c>
      <c r="G501" s="499">
        <v>42367</v>
      </c>
      <c r="H501" s="517">
        <v>1000</v>
      </c>
      <c r="I501" s="501">
        <v>13.15</v>
      </c>
      <c r="J501" s="502">
        <v>0.24</v>
      </c>
      <c r="K501" s="502">
        <f t="shared" si="167"/>
        <v>13149.76</v>
      </c>
      <c r="L501" s="500"/>
      <c r="M501" s="502"/>
    </row>
    <row r="502" spans="1:13" x14ac:dyDescent="0.25">
      <c r="A502" s="500"/>
      <c r="B502" s="549">
        <v>42258</v>
      </c>
      <c r="C502" s="500">
        <v>100</v>
      </c>
      <c r="D502" s="501">
        <v>16.100000000000001</v>
      </c>
      <c r="E502" s="502">
        <v>0</v>
      </c>
      <c r="F502" s="502">
        <f t="shared" si="166"/>
        <v>1610.0000000000002</v>
      </c>
      <c r="G502" s="499">
        <v>42367</v>
      </c>
      <c r="H502" s="517">
        <v>2178</v>
      </c>
      <c r="I502" s="501">
        <v>13.75</v>
      </c>
      <c r="J502" s="502">
        <v>0.55000000000000004</v>
      </c>
      <c r="K502" s="502">
        <f>H502*I502-J502</f>
        <v>29946.95</v>
      </c>
      <c r="L502" s="500"/>
      <c r="M502" s="502"/>
    </row>
    <row r="503" spans="1:13" x14ac:dyDescent="0.25">
      <c r="A503" s="500"/>
      <c r="B503" s="549">
        <v>42261</v>
      </c>
      <c r="C503" s="500">
        <v>1000</v>
      </c>
      <c r="D503" s="501">
        <v>15.416</v>
      </c>
      <c r="E503" s="502">
        <v>0</v>
      </c>
      <c r="F503" s="502">
        <f t="shared" si="166"/>
        <v>15416</v>
      </c>
      <c r="G503" s="499">
        <v>42010</v>
      </c>
      <c r="H503" s="517">
        <v>1000</v>
      </c>
      <c r="I503" s="501">
        <v>12.63</v>
      </c>
      <c r="J503" s="502">
        <v>0.23</v>
      </c>
      <c r="K503" s="502">
        <f>H503*I503-J503</f>
        <v>12629.77</v>
      </c>
      <c r="L503" s="500"/>
      <c r="M503" s="502"/>
    </row>
    <row r="504" spans="1:13" x14ac:dyDescent="0.25">
      <c r="A504" s="500"/>
      <c r="B504" s="549">
        <v>42261</v>
      </c>
      <c r="C504" s="500">
        <v>1000</v>
      </c>
      <c r="D504" s="501">
        <v>15.1</v>
      </c>
      <c r="E504" s="502">
        <v>0</v>
      </c>
      <c r="F504" s="502">
        <f t="shared" si="166"/>
        <v>15100</v>
      </c>
      <c r="G504" s="597">
        <v>42374</v>
      </c>
      <c r="H504" s="517">
        <v>2000</v>
      </c>
      <c r="I504" s="501">
        <v>12.81</v>
      </c>
      <c r="J504" s="502">
        <v>0.47</v>
      </c>
      <c r="K504" s="502">
        <f t="shared" ref="K504:K516" si="168">H504*I504-J504</f>
        <v>25619.53</v>
      </c>
      <c r="L504" s="500"/>
      <c r="M504" s="502"/>
    </row>
    <row r="505" spans="1:13" x14ac:dyDescent="0.25">
      <c r="A505" s="500"/>
      <c r="B505" s="549">
        <v>42261</v>
      </c>
      <c r="C505" s="500">
        <v>200</v>
      </c>
      <c r="D505" s="501">
        <v>14.87</v>
      </c>
      <c r="E505" s="502">
        <v>0</v>
      </c>
      <c r="F505" s="502">
        <f t="shared" si="166"/>
        <v>2974</v>
      </c>
      <c r="G505" s="499">
        <v>42374</v>
      </c>
      <c r="H505" s="517">
        <v>1000</v>
      </c>
      <c r="I505" s="501">
        <v>12.82</v>
      </c>
      <c r="J505" s="502">
        <v>0.24</v>
      </c>
      <c r="K505" s="502">
        <f t="shared" si="168"/>
        <v>12819.76</v>
      </c>
      <c r="L505" s="500"/>
      <c r="M505" s="502"/>
    </row>
    <row r="506" spans="1:13" x14ac:dyDescent="0.25">
      <c r="A506" s="500"/>
      <c r="B506" s="549">
        <v>42261</v>
      </c>
      <c r="C506" s="500">
        <v>300</v>
      </c>
      <c r="D506" s="501">
        <v>14.87</v>
      </c>
      <c r="E506" s="502">
        <v>0</v>
      </c>
      <c r="F506" s="502">
        <f t="shared" si="166"/>
        <v>4461</v>
      </c>
      <c r="G506" s="499">
        <v>42398</v>
      </c>
      <c r="H506" s="517">
        <v>400</v>
      </c>
      <c r="I506" s="501">
        <v>9.5500000000000007</v>
      </c>
      <c r="J506" s="502">
        <v>7.0000000000000007E-2</v>
      </c>
      <c r="K506" s="502">
        <f t="shared" si="168"/>
        <v>3819.9300000000003</v>
      </c>
      <c r="L506" s="500"/>
      <c r="M506" s="502"/>
    </row>
    <row r="507" spans="1:13" x14ac:dyDescent="0.25">
      <c r="A507" s="500"/>
      <c r="B507" s="549">
        <v>42270</v>
      </c>
      <c r="C507" s="500">
        <v>478</v>
      </c>
      <c r="D507" s="501">
        <v>15.85</v>
      </c>
      <c r="E507" s="502">
        <v>0</v>
      </c>
      <c r="F507" s="502">
        <f t="shared" si="166"/>
        <v>7576.3</v>
      </c>
      <c r="G507" s="499">
        <v>42411</v>
      </c>
      <c r="H507" s="517">
        <v>500</v>
      </c>
      <c r="I507" s="501">
        <v>6.97</v>
      </c>
      <c r="J507" s="502">
        <v>0.08</v>
      </c>
      <c r="K507" s="502">
        <f t="shared" si="168"/>
        <v>3484.92</v>
      </c>
      <c r="L507" s="500"/>
      <c r="M507" s="502"/>
    </row>
    <row r="508" spans="1:13" x14ac:dyDescent="0.25">
      <c r="A508" s="500"/>
      <c r="B508" s="549">
        <v>42292</v>
      </c>
      <c r="C508" s="500">
        <v>500</v>
      </c>
      <c r="D508" s="501">
        <v>18.55</v>
      </c>
      <c r="E508" s="502">
        <v>0</v>
      </c>
      <c r="F508" s="502">
        <f t="shared" si="166"/>
        <v>9275</v>
      </c>
      <c r="G508" s="499">
        <v>42412</v>
      </c>
      <c r="H508" s="517">
        <v>200</v>
      </c>
      <c r="I508" s="501">
        <v>7.45</v>
      </c>
      <c r="J508" s="502">
        <v>0.03</v>
      </c>
      <c r="K508" s="502">
        <f t="shared" si="168"/>
        <v>1489.97</v>
      </c>
      <c r="L508" s="500"/>
      <c r="M508" s="502"/>
    </row>
    <row r="509" spans="1:13" x14ac:dyDescent="0.25">
      <c r="A509" s="500"/>
      <c r="B509" s="549">
        <v>42299</v>
      </c>
      <c r="C509" s="500">
        <v>500</v>
      </c>
      <c r="D509" s="501">
        <v>18.55</v>
      </c>
      <c r="E509" s="502">
        <v>0</v>
      </c>
      <c r="F509" s="502">
        <f t="shared" si="166"/>
        <v>9275</v>
      </c>
      <c r="G509" s="499">
        <v>42416</v>
      </c>
      <c r="H509" s="517">
        <v>500</v>
      </c>
      <c r="I509" s="501">
        <v>7.75</v>
      </c>
      <c r="J509" s="502">
        <v>0.08</v>
      </c>
      <c r="K509" s="502">
        <f t="shared" si="168"/>
        <v>3874.92</v>
      </c>
      <c r="L509" s="500"/>
      <c r="M509" s="502"/>
    </row>
    <row r="510" spans="1:13" x14ac:dyDescent="0.25">
      <c r="A510" s="500"/>
      <c r="B510" s="549">
        <v>42299</v>
      </c>
      <c r="C510" s="500">
        <v>500</v>
      </c>
      <c r="D510" s="501">
        <v>18.28</v>
      </c>
      <c r="E510" s="502">
        <v>0</v>
      </c>
      <c r="F510" s="502">
        <f t="shared" si="166"/>
        <v>9140</v>
      </c>
      <c r="G510" s="499">
        <v>42422</v>
      </c>
      <c r="H510" s="517">
        <v>2500</v>
      </c>
      <c r="I510" s="501">
        <v>7.47</v>
      </c>
      <c r="J510" s="502">
        <v>0.41</v>
      </c>
      <c r="K510" s="502">
        <f t="shared" si="168"/>
        <v>18674.59</v>
      </c>
      <c r="L510" s="500"/>
      <c r="M510" s="502"/>
    </row>
    <row r="511" spans="1:13" x14ac:dyDescent="0.25">
      <c r="A511" s="500"/>
      <c r="B511" s="549">
        <v>42299</v>
      </c>
      <c r="C511" s="500">
        <v>1000</v>
      </c>
      <c r="D511" s="501">
        <v>18.100000000000001</v>
      </c>
      <c r="E511" s="502">
        <v>0</v>
      </c>
      <c r="F511" s="502">
        <f t="shared" si="166"/>
        <v>18100</v>
      </c>
      <c r="G511" s="499">
        <v>42422</v>
      </c>
      <c r="H511" s="517">
        <v>1000</v>
      </c>
      <c r="I511" s="501">
        <v>7.49</v>
      </c>
      <c r="J511" s="502">
        <v>0.16</v>
      </c>
      <c r="K511" s="502">
        <f t="shared" si="168"/>
        <v>7489.84</v>
      </c>
      <c r="L511" s="500"/>
      <c r="M511" s="502"/>
    </row>
    <row r="512" spans="1:13" ht="15" customHeight="1" x14ac:dyDescent="0.25">
      <c r="A512" s="500"/>
      <c r="B512" s="612">
        <v>42306</v>
      </c>
      <c r="C512" s="500">
        <v>660</v>
      </c>
      <c r="D512" s="501">
        <v>17.8</v>
      </c>
      <c r="E512" s="502">
        <v>0</v>
      </c>
      <c r="F512" s="502">
        <f t="shared" si="166"/>
        <v>11748</v>
      </c>
      <c r="G512" s="499">
        <v>42426</v>
      </c>
      <c r="H512" s="517">
        <v>900</v>
      </c>
      <c r="I512" s="501">
        <v>7.7</v>
      </c>
      <c r="J512" s="502">
        <v>0.15</v>
      </c>
      <c r="K512" s="502">
        <f t="shared" si="168"/>
        <v>6929.85</v>
      </c>
      <c r="L512" s="500"/>
      <c r="M512" s="502"/>
    </row>
    <row r="513" spans="1:13" ht="30" x14ac:dyDescent="0.25">
      <c r="A513" s="500"/>
      <c r="B513" s="612"/>
      <c r="C513" s="500">
        <v>340</v>
      </c>
      <c r="D513" s="501">
        <v>17.8</v>
      </c>
      <c r="E513" s="502">
        <v>0</v>
      </c>
      <c r="F513" s="502">
        <f t="shared" si="166"/>
        <v>6052</v>
      </c>
      <c r="G513" s="615" t="s">
        <v>181</v>
      </c>
      <c r="H513" s="517">
        <v>500</v>
      </c>
      <c r="I513" s="501">
        <v>7.73</v>
      </c>
      <c r="J513" s="502">
        <v>0.08</v>
      </c>
      <c r="K513" s="502">
        <f t="shared" si="168"/>
        <v>3864.92</v>
      </c>
      <c r="L513" s="500"/>
      <c r="M513" s="502"/>
    </row>
    <row r="514" spans="1:13" x14ac:dyDescent="0.25">
      <c r="A514" s="500"/>
      <c r="B514" s="549">
        <v>42312</v>
      </c>
      <c r="C514" s="598">
        <v>500</v>
      </c>
      <c r="D514" s="595">
        <v>17.559999999999999</v>
      </c>
      <c r="E514" s="596">
        <v>6.95</v>
      </c>
      <c r="F514" s="596">
        <f t="shared" si="166"/>
        <v>8786.9500000000007</v>
      </c>
      <c r="G514" s="615"/>
      <c r="H514" s="517">
        <v>500</v>
      </c>
      <c r="I514" s="501">
        <v>7.96</v>
      </c>
      <c r="J514" s="502">
        <v>0.09</v>
      </c>
      <c r="K514" s="502">
        <f t="shared" si="168"/>
        <v>3979.91</v>
      </c>
      <c r="L514" s="500"/>
      <c r="M514" s="502"/>
    </row>
    <row r="515" spans="1:13" x14ac:dyDescent="0.25">
      <c r="A515" s="500"/>
      <c r="B515" s="549">
        <v>42313</v>
      </c>
      <c r="C515" s="500">
        <v>3000</v>
      </c>
      <c r="D515" s="501">
        <v>19.05</v>
      </c>
      <c r="E515" s="502">
        <v>0</v>
      </c>
      <c r="F515" s="502">
        <f t="shared" si="166"/>
        <v>57150</v>
      </c>
      <c r="G515" s="615"/>
      <c r="H515" s="517">
        <v>500</v>
      </c>
      <c r="I515" s="501">
        <v>8.0299999999999994</v>
      </c>
      <c r="J515" s="502">
        <v>0.09</v>
      </c>
      <c r="K515" s="502">
        <f t="shared" si="168"/>
        <v>4014.9099999999994</v>
      </c>
      <c r="L515" s="500"/>
      <c r="M515" s="501"/>
    </row>
    <row r="516" spans="1:13" x14ac:dyDescent="0.25">
      <c r="A516" s="500"/>
      <c r="B516" s="549">
        <v>42320</v>
      </c>
      <c r="C516" s="500">
        <v>500</v>
      </c>
      <c r="D516" s="501">
        <v>18.079999999999998</v>
      </c>
      <c r="E516" s="502">
        <v>0</v>
      </c>
      <c r="F516" s="502">
        <f t="shared" si="166"/>
        <v>9040</v>
      </c>
      <c r="G516" s="615"/>
      <c r="H516" s="517">
        <v>1500</v>
      </c>
      <c r="I516" s="501">
        <v>8.1</v>
      </c>
      <c r="J516" s="502">
        <v>0.26</v>
      </c>
      <c r="K516" s="502">
        <f t="shared" si="168"/>
        <v>12149.74</v>
      </c>
      <c r="L516" s="500"/>
      <c r="M516" s="502"/>
    </row>
    <row r="517" spans="1:13" x14ac:dyDescent="0.25">
      <c r="A517" s="500"/>
      <c r="B517" s="549">
        <v>42320</v>
      </c>
      <c r="C517" s="500">
        <v>1000</v>
      </c>
      <c r="D517" s="501">
        <v>18.05</v>
      </c>
      <c r="E517" s="502">
        <v>0</v>
      </c>
      <c r="F517" s="502">
        <f t="shared" si="166"/>
        <v>18050</v>
      </c>
      <c r="G517" s="499">
        <v>42429</v>
      </c>
      <c r="H517" s="517">
        <v>1000</v>
      </c>
      <c r="I517" s="501">
        <v>8.5399999999999991</v>
      </c>
      <c r="J517" s="502">
        <v>0.19</v>
      </c>
      <c r="K517" s="502">
        <f>H517*I517-J517</f>
        <v>8539.81</v>
      </c>
      <c r="L517" s="500"/>
      <c r="M517" s="599"/>
    </row>
    <row r="518" spans="1:13" x14ac:dyDescent="0.25">
      <c r="A518" s="500"/>
      <c r="B518" s="549">
        <v>42320</v>
      </c>
      <c r="C518" s="500">
        <v>1000</v>
      </c>
      <c r="D518" s="501">
        <v>17.82</v>
      </c>
      <c r="E518" s="502">
        <v>0</v>
      </c>
      <c r="F518" s="502">
        <f t="shared" si="166"/>
        <v>17820</v>
      </c>
      <c r="G518" s="499">
        <v>42429</v>
      </c>
      <c r="H518" s="517">
        <v>500</v>
      </c>
      <c r="I518" s="501">
        <v>7.95</v>
      </c>
      <c r="J518" s="502">
        <v>0.09</v>
      </c>
      <c r="K518" s="502">
        <f>H518*I518-J518</f>
        <v>3974.91</v>
      </c>
      <c r="L518" s="500"/>
      <c r="M518" s="502"/>
    </row>
    <row r="519" spans="1:13" x14ac:dyDescent="0.25">
      <c r="A519" s="500"/>
      <c r="B519" s="549">
        <v>42328</v>
      </c>
      <c r="C519" s="500">
        <v>3078</v>
      </c>
      <c r="D519" s="501">
        <v>17.47</v>
      </c>
      <c r="E519" s="502">
        <v>0</v>
      </c>
      <c r="F519" s="502">
        <f t="shared" si="166"/>
        <v>53772.659999999996</v>
      </c>
      <c r="G519" s="499">
        <v>42429</v>
      </c>
      <c r="H519" s="517">
        <v>500</v>
      </c>
      <c r="I519" s="501">
        <v>7.97</v>
      </c>
      <c r="J519" s="502">
        <v>0.09</v>
      </c>
      <c r="K519" s="502">
        <f t="shared" ref="K519:K578" si="169">H519*I519-J519</f>
        <v>3984.91</v>
      </c>
      <c r="L519" s="500"/>
      <c r="M519" s="502"/>
    </row>
    <row r="520" spans="1:13" x14ac:dyDescent="0.25">
      <c r="A520" s="500"/>
      <c r="B520" s="549">
        <v>42340</v>
      </c>
      <c r="C520" s="500">
        <v>3078</v>
      </c>
      <c r="D520" s="501">
        <v>17.739999999999998</v>
      </c>
      <c r="E520" s="502">
        <v>0</v>
      </c>
      <c r="F520" s="502">
        <f t="shared" si="166"/>
        <v>54603.719999999994</v>
      </c>
      <c r="G520" s="499">
        <v>42430</v>
      </c>
      <c r="H520" s="517">
        <v>500</v>
      </c>
      <c r="I520" s="501">
        <v>7.85</v>
      </c>
      <c r="J520" s="502">
        <v>0.09</v>
      </c>
      <c r="K520" s="502">
        <f t="shared" si="169"/>
        <v>3924.91</v>
      </c>
      <c r="L520" s="500"/>
      <c r="M520" s="502"/>
    </row>
    <row r="521" spans="1:13" x14ac:dyDescent="0.25">
      <c r="A521" s="500"/>
      <c r="B521" s="549">
        <v>42340</v>
      </c>
      <c r="C521" s="500">
        <v>500</v>
      </c>
      <c r="D521" s="501">
        <v>17.5</v>
      </c>
      <c r="E521" s="502">
        <v>0</v>
      </c>
      <c r="F521" s="502">
        <f t="shared" si="166"/>
        <v>8750</v>
      </c>
      <c r="G521" s="499">
        <v>42430</v>
      </c>
      <c r="H521" s="517">
        <v>500</v>
      </c>
      <c r="I521" s="501">
        <v>8.0299999999999994</v>
      </c>
      <c r="J521" s="502">
        <v>0.09</v>
      </c>
      <c r="K521" s="502">
        <f t="shared" si="169"/>
        <v>4014.9099999999994</v>
      </c>
      <c r="L521" s="502"/>
      <c r="M521" s="502"/>
    </row>
    <row r="522" spans="1:13" x14ac:dyDescent="0.25">
      <c r="A522" s="500"/>
      <c r="B522" s="549">
        <v>42345</v>
      </c>
      <c r="C522" s="500">
        <v>100</v>
      </c>
      <c r="D522" s="501">
        <v>16.7</v>
      </c>
      <c r="E522" s="502">
        <v>0</v>
      </c>
      <c r="F522" s="502">
        <f t="shared" si="166"/>
        <v>1670</v>
      </c>
      <c r="G522" s="499">
        <v>42431</v>
      </c>
      <c r="H522" s="517">
        <v>500</v>
      </c>
      <c r="I522" s="501">
        <v>8.3800000000000008</v>
      </c>
      <c r="J522" s="502">
        <v>0.09</v>
      </c>
      <c r="K522" s="502">
        <f t="shared" si="169"/>
        <v>4189.91</v>
      </c>
      <c r="L522" s="502"/>
      <c r="M522" s="502"/>
    </row>
    <row r="523" spans="1:13" x14ac:dyDescent="0.25">
      <c r="A523" s="500"/>
      <c r="B523" s="549">
        <v>42345</v>
      </c>
      <c r="C523" s="500">
        <v>500</v>
      </c>
      <c r="D523" s="501">
        <v>16.850000000000001</v>
      </c>
      <c r="E523" s="502">
        <v>0</v>
      </c>
      <c r="F523" s="502">
        <f t="shared" si="166"/>
        <v>8425</v>
      </c>
      <c r="G523" s="499">
        <v>42431</v>
      </c>
      <c r="H523" s="517">
        <v>500</v>
      </c>
      <c r="I523" s="501">
        <v>8.58</v>
      </c>
      <c r="J523" s="502">
        <v>0.09</v>
      </c>
      <c r="K523" s="502">
        <f t="shared" si="169"/>
        <v>4289.91</v>
      </c>
      <c r="L523" s="500"/>
      <c r="M523" s="502"/>
    </row>
    <row r="524" spans="1:13" ht="30" x14ac:dyDescent="0.25">
      <c r="A524" s="500"/>
      <c r="B524" s="549">
        <v>42347</v>
      </c>
      <c r="C524" s="500">
        <v>500</v>
      </c>
      <c r="D524" s="501">
        <v>15.84</v>
      </c>
      <c r="E524" s="502">
        <v>0</v>
      </c>
      <c r="F524" s="502">
        <f t="shared" si="166"/>
        <v>7920</v>
      </c>
      <c r="G524" s="614" t="s">
        <v>183</v>
      </c>
      <c r="H524" s="517">
        <v>400</v>
      </c>
      <c r="I524" s="501">
        <v>9.09</v>
      </c>
      <c r="J524" s="502">
        <v>0.1</v>
      </c>
      <c r="K524" s="502">
        <f t="shared" si="169"/>
        <v>3635.9</v>
      </c>
      <c r="L524" s="500"/>
      <c r="M524" s="502"/>
    </row>
    <row r="525" spans="1:13" x14ac:dyDescent="0.25">
      <c r="A525" s="500"/>
      <c r="B525" s="549">
        <v>42348</v>
      </c>
      <c r="C525" s="500">
        <v>500</v>
      </c>
      <c r="D525" s="501">
        <v>14.78</v>
      </c>
      <c r="E525" s="502">
        <v>0</v>
      </c>
      <c r="F525" s="502">
        <f t="shared" si="166"/>
        <v>7390</v>
      </c>
      <c r="G525" s="614"/>
      <c r="H525" s="517">
        <v>100</v>
      </c>
      <c r="I525" s="501">
        <v>9.09</v>
      </c>
      <c r="J525" s="502">
        <v>0</v>
      </c>
      <c r="K525" s="502">
        <f t="shared" si="169"/>
        <v>909</v>
      </c>
      <c r="L525" s="500"/>
      <c r="M525" s="502"/>
    </row>
    <row r="526" spans="1:13" x14ac:dyDescent="0.25">
      <c r="A526" s="500"/>
      <c r="B526" s="549">
        <v>42352</v>
      </c>
      <c r="C526" s="500">
        <v>100</v>
      </c>
      <c r="D526" s="501">
        <v>14.57</v>
      </c>
      <c r="E526" s="502">
        <v>0</v>
      </c>
      <c r="F526" s="502">
        <f t="shared" si="166"/>
        <v>1457</v>
      </c>
      <c r="G526" s="614"/>
      <c r="H526" s="517">
        <v>500</v>
      </c>
      <c r="I526" s="501">
        <v>8.81</v>
      </c>
      <c r="J526" s="502">
        <v>0.1</v>
      </c>
      <c r="K526" s="502">
        <f t="shared" si="169"/>
        <v>4404.8999999999996</v>
      </c>
      <c r="L526" s="500"/>
      <c r="M526" s="502"/>
    </row>
    <row r="527" spans="1:13" x14ac:dyDescent="0.25">
      <c r="A527" s="500"/>
      <c r="B527" s="549">
        <v>42355</v>
      </c>
      <c r="C527" s="500">
        <v>500</v>
      </c>
      <c r="D527" s="501">
        <v>13.89</v>
      </c>
      <c r="E527" s="502">
        <v>0</v>
      </c>
      <c r="F527" s="502">
        <f t="shared" si="166"/>
        <v>6945</v>
      </c>
      <c r="G527" s="499">
        <v>42432</v>
      </c>
      <c r="H527" s="517">
        <v>600</v>
      </c>
      <c r="I527" s="501">
        <v>9.65</v>
      </c>
      <c r="J527" s="502">
        <v>0.13</v>
      </c>
      <c r="K527" s="502">
        <f t="shared" si="169"/>
        <v>5789.87</v>
      </c>
      <c r="L527" s="500"/>
      <c r="M527" s="502"/>
    </row>
    <row r="528" spans="1:13" x14ac:dyDescent="0.25">
      <c r="A528" s="500"/>
      <c r="B528" s="549">
        <v>42360</v>
      </c>
      <c r="C528" s="500">
        <v>500</v>
      </c>
      <c r="D528" s="501">
        <v>12.95</v>
      </c>
      <c r="E528" s="502">
        <v>0</v>
      </c>
      <c r="F528" s="502">
        <f t="shared" si="166"/>
        <v>6475</v>
      </c>
      <c r="G528" s="499">
        <v>42433</v>
      </c>
      <c r="H528" s="517">
        <v>600</v>
      </c>
      <c r="I528" s="501">
        <v>10.45</v>
      </c>
      <c r="J528" s="502">
        <v>0.14000000000000001</v>
      </c>
      <c r="K528" s="502">
        <f t="shared" si="169"/>
        <v>6269.86</v>
      </c>
      <c r="L528" s="500"/>
      <c r="M528" s="502"/>
    </row>
    <row r="529" spans="1:13" x14ac:dyDescent="0.25">
      <c r="A529" s="500"/>
      <c r="B529" s="549">
        <v>42361</v>
      </c>
      <c r="C529" s="500">
        <v>500</v>
      </c>
      <c r="D529" s="501">
        <v>12.75</v>
      </c>
      <c r="E529" s="502">
        <v>0</v>
      </c>
      <c r="F529" s="502">
        <f t="shared" si="166"/>
        <v>6375</v>
      </c>
      <c r="G529" s="499">
        <v>42440</v>
      </c>
      <c r="H529" s="517">
        <v>400</v>
      </c>
      <c r="I529" s="501">
        <v>11.25</v>
      </c>
      <c r="J529" s="502">
        <v>0.1</v>
      </c>
      <c r="K529" s="502">
        <f t="shared" si="169"/>
        <v>4499.8999999999996</v>
      </c>
      <c r="L529" s="500"/>
      <c r="M529" s="502"/>
    </row>
    <row r="530" spans="1:13" x14ac:dyDescent="0.25">
      <c r="A530" s="500"/>
      <c r="B530" s="549">
        <v>42361</v>
      </c>
      <c r="C530" s="500">
        <v>500</v>
      </c>
      <c r="D530" s="501">
        <v>12.8</v>
      </c>
      <c r="E530" s="502">
        <v>0</v>
      </c>
      <c r="F530" s="502">
        <f t="shared" si="166"/>
        <v>6400</v>
      </c>
      <c r="G530" s="499">
        <v>42446</v>
      </c>
      <c r="H530" s="517">
        <v>1500</v>
      </c>
      <c r="I530" s="501">
        <v>11.49</v>
      </c>
      <c r="J530" s="502">
        <v>0.38</v>
      </c>
      <c r="K530" s="502">
        <f t="shared" si="169"/>
        <v>17234.62</v>
      </c>
      <c r="L530" s="500"/>
      <c r="M530" s="502"/>
    </row>
    <row r="531" spans="1:13" x14ac:dyDescent="0.25">
      <c r="A531" s="500"/>
      <c r="B531" s="549">
        <v>42361</v>
      </c>
      <c r="C531" s="500">
        <v>1000</v>
      </c>
      <c r="D531" s="501">
        <v>12.67</v>
      </c>
      <c r="E531" s="502">
        <v>0</v>
      </c>
      <c r="F531" s="502">
        <f t="shared" si="166"/>
        <v>12670</v>
      </c>
      <c r="G531" s="499">
        <v>42447</v>
      </c>
      <c r="H531" s="517">
        <v>1500</v>
      </c>
      <c r="I531" s="501">
        <v>11.44</v>
      </c>
      <c r="J531" s="502">
        <v>0.37</v>
      </c>
      <c r="K531" s="502">
        <f t="shared" si="169"/>
        <v>17159.63</v>
      </c>
      <c r="L531" s="500"/>
      <c r="M531" s="502"/>
    </row>
    <row r="532" spans="1:13" x14ac:dyDescent="0.25">
      <c r="A532" s="500"/>
      <c r="B532" s="549">
        <v>42361</v>
      </c>
      <c r="C532" s="500">
        <v>222</v>
      </c>
      <c r="D532" s="501">
        <v>12.44</v>
      </c>
      <c r="E532" s="502">
        <v>0</v>
      </c>
      <c r="F532" s="502">
        <f t="shared" si="166"/>
        <v>2761.68</v>
      </c>
      <c r="G532" s="499">
        <v>42447</v>
      </c>
      <c r="H532" s="517">
        <v>500</v>
      </c>
      <c r="I532" s="501">
        <v>11.484999999999999</v>
      </c>
      <c r="J532" s="502">
        <v>0.13</v>
      </c>
      <c r="K532" s="502">
        <f t="shared" si="169"/>
        <v>5742.37</v>
      </c>
      <c r="L532" s="500"/>
      <c r="M532" s="502"/>
    </row>
    <row r="533" spans="1:13" x14ac:dyDescent="0.25">
      <c r="A533" s="500"/>
      <c r="B533" s="549">
        <v>42367</v>
      </c>
      <c r="C533" s="500">
        <v>2178</v>
      </c>
      <c r="D533" s="501">
        <v>13.68</v>
      </c>
      <c r="E533" s="502">
        <v>0</v>
      </c>
      <c r="F533" s="502">
        <f t="shared" si="166"/>
        <v>29795.040000000001</v>
      </c>
      <c r="G533" s="613">
        <v>42447</v>
      </c>
      <c r="H533" s="517">
        <v>650</v>
      </c>
      <c r="I533" s="501">
        <v>11.56</v>
      </c>
      <c r="J533" s="502">
        <v>0.25</v>
      </c>
      <c r="K533" s="502">
        <f t="shared" si="169"/>
        <v>7513.75</v>
      </c>
      <c r="L533" s="500"/>
      <c r="M533" s="502"/>
    </row>
    <row r="534" spans="1:13" x14ac:dyDescent="0.25">
      <c r="A534" s="500"/>
      <c r="B534" s="549">
        <v>42369</v>
      </c>
      <c r="C534" s="500">
        <v>2500</v>
      </c>
      <c r="D534" s="501">
        <v>13.04</v>
      </c>
      <c r="E534" s="502">
        <v>0</v>
      </c>
      <c r="F534" s="502">
        <f t="shared" si="166"/>
        <v>32599.999999999996</v>
      </c>
      <c r="G534" s="613"/>
      <c r="H534" s="517">
        <v>350</v>
      </c>
      <c r="I534" s="501">
        <v>11.56</v>
      </c>
      <c r="J534" s="502">
        <v>0</v>
      </c>
      <c r="K534" s="502">
        <f t="shared" si="169"/>
        <v>4046</v>
      </c>
      <c r="L534" s="500"/>
      <c r="M534" s="502"/>
    </row>
    <row r="535" spans="1:13" x14ac:dyDescent="0.25">
      <c r="A535" s="500"/>
      <c r="B535" s="549">
        <v>42008</v>
      </c>
      <c r="C535" s="500">
        <v>2000</v>
      </c>
      <c r="D535" s="501">
        <v>13.01</v>
      </c>
      <c r="E535" s="502">
        <v>0</v>
      </c>
      <c r="F535" s="502">
        <f t="shared" si="166"/>
        <v>26020</v>
      </c>
      <c r="G535" s="499">
        <v>42447</v>
      </c>
      <c r="H535" s="517">
        <v>1000</v>
      </c>
      <c r="I535" s="501">
        <v>11.62</v>
      </c>
      <c r="J535" s="502">
        <v>0.25</v>
      </c>
      <c r="K535" s="502">
        <f t="shared" si="169"/>
        <v>11619.75</v>
      </c>
      <c r="L535" s="500"/>
      <c r="M535" s="502"/>
    </row>
    <row r="536" spans="1:13" x14ac:dyDescent="0.25">
      <c r="A536" s="500"/>
      <c r="B536" s="549">
        <v>42009</v>
      </c>
      <c r="C536" s="500">
        <v>500</v>
      </c>
      <c r="D536" s="501">
        <v>12.62</v>
      </c>
      <c r="E536" s="502">
        <v>0</v>
      </c>
      <c r="F536" s="502">
        <f t="shared" si="166"/>
        <v>6310</v>
      </c>
      <c r="G536" s="499">
        <v>42451</v>
      </c>
      <c r="H536" s="517">
        <v>1000</v>
      </c>
      <c r="I536" s="501">
        <v>11.45</v>
      </c>
      <c r="J536" s="502">
        <v>0.25</v>
      </c>
      <c r="K536" s="502">
        <f t="shared" si="169"/>
        <v>11449.75</v>
      </c>
      <c r="L536" s="500"/>
      <c r="M536" s="502"/>
    </row>
    <row r="537" spans="1:13" x14ac:dyDescent="0.25">
      <c r="A537" s="500"/>
      <c r="B537" s="549">
        <v>42009</v>
      </c>
      <c r="C537" s="500">
        <v>500</v>
      </c>
      <c r="D537" s="501">
        <v>12.45</v>
      </c>
      <c r="E537" s="502">
        <v>0</v>
      </c>
      <c r="F537" s="502">
        <f t="shared" si="166"/>
        <v>6225</v>
      </c>
      <c r="G537" s="499">
        <v>42451</v>
      </c>
      <c r="H537" s="517">
        <v>50</v>
      </c>
      <c r="I537" s="501">
        <v>11.28</v>
      </c>
      <c r="J537" s="502">
        <v>0.01</v>
      </c>
      <c r="K537" s="502">
        <f t="shared" si="169"/>
        <v>563.99</v>
      </c>
      <c r="L537" s="500"/>
      <c r="M537" s="502"/>
    </row>
    <row r="538" spans="1:13" x14ac:dyDescent="0.25">
      <c r="A538" s="500"/>
      <c r="B538" s="600">
        <v>42374</v>
      </c>
      <c r="C538" s="500">
        <v>2000</v>
      </c>
      <c r="D538" s="501">
        <v>12.73</v>
      </c>
      <c r="E538" s="502">
        <v>0</v>
      </c>
      <c r="F538" s="502">
        <f t="shared" ref="F538:F601" si="170">C538*D538+E538</f>
        <v>25460</v>
      </c>
      <c r="G538" s="499">
        <v>42459</v>
      </c>
      <c r="H538" s="517">
        <v>2000</v>
      </c>
      <c r="I538" s="501">
        <v>10.75</v>
      </c>
      <c r="J538" s="502">
        <v>0.47</v>
      </c>
      <c r="K538" s="502">
        <f t="shared" si="169"/>
        <v>21499.53</v>
      </c>
      <c r="L538" s="500"/>
      <c r="M538" s="502"/>
    </row>
    <row r="539" spans="1:13" x14ac:dyDescent="0.25">
      <c r="A539" s="500"/>
      <c r="B539" s="549">
        <v>42375</v>
      </c>
      <c r="C539" s="500">
        <v>1000</v>
      </c>
      <c r="D539" s="501">
        <v>12.5</v>
      </c>
      <c r="E539" s="502">
        <v>0</v>
      </c>
      <c r="F539" s="502">
        <f t="shared" si="170"/>
        <v>12500</v>
      </c>
      <c r="G539" s="499">
        <v>42460</v>
      </c>
      <c r="H539" s="517">
        <v>1600</v>
      </c>
      <c r="I539" s="501">
        <v>10.95</v>
      </c>
      <c r="J539" s="502">
        <v>2.88</v>
      </c>
      <c r="K539" s="502">
        <f t="shared" si="169"/>
        <v>17517.12</v>
      </c>
      <c r="L539" s="500"/>
      <c r="M539" s="502"/>
    </row>
    <row r="540" spans="1:13" x14ac:dyDescent="0.25">
      <c r="A540" s="500"/>
      <c r="B540" s="549">
        <v>42375</v>
      </c>
      <c r="C540" s="500">
        <v>1000</v>
      </c>
      <c r="D540" s="501">
        <v>11.7</v>
      </c>
      <c r="E540" s="502">
        <v>0</v>
      </c>
      <c r="F540" s="502">
        <f t="shared" si="170"/>
        <v>11700</v>
      </c>
      <c r="G540" s="499">
        <v>42461</v>
      </c>
      <c r="H540" s="517">
        <v>2000</v>
      </c>
      <c r="I540" s="501">
        <v>10.52</v>
      </c>
      <c r="J540" s="502">
        <v>0.46</v>
      </c>
      <c r="K540" s="502">
        <f t="shared" si="169"/>
        <v>21039.54</v>
      </c>
      <c r="L540" s="500"/>
      <c r="M540" s="502"/>
    </row>
    <row r="541" spans="1:13" x14ac:dyDescent="0.25">
      <c r="A541" s="500"/>
      <c r="B541" s="549">
        <v>42402</v>
      </c>
      <c r="C541" s="500">
        <v>400</v>
      </c>
      <c r="D541" s="501">
        <v>9.1</v>
      </c>
      <c r="E541" s="502">
        <v>0</v>
      </c>
      <c r="F541" s="502">
        <f t="shared" si="170"/>
        <v>3640</v>
      </c>
      <c r="G541" s="499">
        <v>42461</v>
      </c>
      <c r="H541" s="517">
        <v>2000</v>
      </c>
      <c r="I541" s="501">
        <v>10.55</v>
      </c>
      <c r="J541" s="502">
        <v>0.46</v>
      </c>
      <c r="K541" s="502">
        <f t="shared" si="169"/>
        <v>21099.54</v>
      </c>
      <c r="L541" s="500"/>
      <c r="M541" s="502"/>
    </row>
    <row r="542" spans="1:13" x14ac:dyDescent="0.25">
      <c r="A542" s="500"/>
      <c r="B542" s="549">
        <v>42411</v>
      </c>
      <c r="C542" s="500">
        <v>500</v>
      </c>
      <c r="D542" s="501">
        <v>6.835</v>
      </c>
      <c r="E542" s="502">
        <v>0</v>
      </c>
      <c r="F542" s="502">
        <f t="shared" si="170"/>
        <v>3417.5</v>
      </c>
      <c r="G542" s="499">
        <v>42465</v>
      </c>
      <c r="H542" s="517">
        <v>100</v>
      </c>
      <c r="I542" s="501">
        <v>10.75</v>
      </c>
      <c r="J542" s="502">
        <v>0.02</v>
      </c>
      <c r="K542" s="502">
        <f t="shared" si="169"/>
        <v>1074.98</v>
      </c>
      <c r="L542" s="500"/>
      <c r="M542" s="502"/>
    </row>
    <row r="543" spans="1:13" x14ac:dyDescent="0.25">
      <c r="A543" s="500"/>
      <c r="B543" s="549">
        <v>42412</v>
      </c>
      <c r="C543" s="500">
        <v>200</v>
      </c>
      <c r="D543" s="501">
        <v>7.23</v>
      </c>
      <c r="E543" s="502">
        <v>0</v>
      </c>
      <c r="F543" s="502">
        <f t="shared" si="170"/>
        <v>1446</v>
      </c>
      <c r="G543" s="499">
        <v>42468</v>
      </c>
      <c r="H543" s="517">
        <v>1000</v>
      </c>
      <c r="I543" s="501">
        <v>11.77</v>
      </c>
      <c r="J543" s="502">
        <v>0.26</v>
      </c>
      <c r="K543" s="502">
        <f t="shared" si="169"/>
        <v>11769.74</v>
      </c>
      <c r="L543" s="500"/>
      <c r="M543" s="502"/>
    </row>
    <row r="544" spans="1:13" x14ac:dyDescent="0.25">
      <c r="A544" s="500"/>
      <c r="B544" s="549">
        <v>42416</v>
      </c>
      <c r="C544" s="500">
        <v>500</v>
      </c>
      <c r="D544" s="501">
        <v>7.5</v>
      </c>
      <c r="E544" s="502">
        <v>0</v>
      </c>
      <c r="F544" s="502">
        <f t="shared" si="170"/>
        <v>3750</v>
      </c>
      <c r="G544" s="613">
        <v>42472</v>
      </c>
      <c r="H544" s="517">
        <v>420</v>
      </c>
      <c r="I544" s="501">
        <v>13.35</v>
      </c>
      <c r="J544" s="502">
        <v>0.15</v>
      </c>
      <c r="K544" s="502">
        <f t="shared" si="169"/>
        <v>5606.85</v>
      </c>
      <c r="L544" s="500"/>
      <c r="M544" s="502"/>
    </row>
    <row r="545" spans="1:13" ht="30" x14ac:dyDescent="0.25">
      <c r="A545" s="500"/>
      <c r="B545" s="616" t="s">
        <v>179</v>
      </c>
      <c r="C545" s="500">
        <v>3000</v>
      </c>
      <c r="D545" s="501">
        <v>7.55</v>
      </c>
      <c r="E545" s="502">
        <v>0</v>
      </c>
      <c r="F545" s="502">
        <f t="shared" si="170"/>
        <v>22650</v>
      </c>
      <c r="G545" s="613"/>
      <c r="H545" s="517">
        <v>80</v>
      </c>
      <c r="I545" s="501">
        <v>13.35</v>
      </c>
      <c r="J545" s="502">
        <v>0</v>
      </c>
      <c r="K545" s="502">
        <f t="shared" si="169"/>
        <v>1068</v>
      </c>
      <c r="L545" s="500"/>
      <c r="M545" s="502"/>
    </row>
    <row r="546" spans="1:13" x14ac:dyDescent="0.25">
      <c r="A546" s="500"/>
      <c r="B546" s="616"/>
      <c r="C546" s="500">
        <v>500</v>
      </c>
      <c r="D546" s="501">
        <v>6.75</v>
      </c>
      <c r="E546" s="502">
        <v>0</v>
      </c>
      <c r="F546" s="502">
        <f t="shared" si="170"/>
        <v>3375</v>
      </c>
      <c r="G546" s="499">
        <v>42472</v>
      </c>
      <c r="H546" s="517">
        <v>500</v>
      </c>
      <c r="I546" s="501">
        <v>13.15</v>
      </c>
      <c r="J546" s="502">
        <v>0.14000000000000001</v>
      </c>
      <c r="K546" s="502">
        <f t="shared" si="169"/>
        <v>6574.86</v>
      </c>
      <c r="L546" s="500"/>
      <c r="M546" s="502"/>
    </row>
    <row r="547" spans="1:13" x14ac:dyDescent="0.25">
      <c r="A547" s="500"/>
      <c r="B547" s="616"/>
      <c r="C547" s="500">
        <v>300</v>
      </c>
      <c r="D547" s="501">
        <v>6.75</v>
      </c>
      <c r="E547" s="502">
        <v>0</v>
      </c>
      <c r="F547" s="502">
        <f t="shared" si="170"/>
        <v>2025</v>
      </c>
      <c r="G547" s="499">
        <v>42472</v>
      </c>
      <c r="H547" s="517">
        <v>500</v>
      </c>
      <c r="I547" s="501">
        <v>12.92</v>
      </c>
      <c r="J547" s="502">
        <v>0.14000000000000001</v>
      </c>
      <c r="K547" s="502">
        <f t="shared" si="169"/>
        <v>6459.86</v>
      </c>
      <c r="L547" s="500"/>
      <c r="M547" s="502"/>
    </row>
    <row r="548" spans="1:13" x14ac:dyDescent="0.25">
      <c r="A548" s="500"/>
      <c r="B548" s="549">
        <v>42426</v>
      </c>
      <c r="C548" s="500">
        <v>600</v>
      </c>
      <c r="D548" s="501">
        <v>7.63</v>
      </c>
      <c r="E548" s="502">
        <v>0</v>
      </c>
      <c r="F548" s="502">
        <f t="shared" si="170"/>
        <v>4578</v>
      </c>
      <c r="G548" s="499">
        <v>42472</v>
      </c>
      <c r="H548" s="517">
        <v>500</v>
      </c>
      <c r="I548" s="501">
        <v>12.59</v>
      </c>
      <c r="J548" s="502">
        <v>0.14000000000000001</v>
      </c>
      <c r="K548" s="502">
        <f t="shared" si="169"/>
        <v>6294.86</v>
      </c>
      <c r="L548" s="500"/>
      <c r="M548" s="502"/>
    </row>
    <row r="549" spans="1:13" x14ac:dyDescent="0.25">
      <c r="A549" s="500"/>
      <c r="B549" s="549">
        <v>42426</v>
      </c>
      <c r="C549" s="500">
        <v>2000</v>
      </c>
      <c r="D549" s="501">
        <v>7.95</v>
      </c>
      <c r="E549" s="502">
        <v>0</v>
      </c>
      <c r="F549" s="502">
        <f t="shared" si="170"/>
        <v>15900</v>
      </c>
      <c r="G549" s="499">
        <v>42474</v>
      </c>
      <c r="H549" s="517">
        <v>500</v>
      </c>
      <c r="I549" s="501">
        <v>13.18</v>
      </c>
      <c r="J549" s="502">
        <v>0.14000000000000001</v>
      </c>
      <c r="K549" s="502">
        <f t="shared" si="169"/>
        <v>6589.86</v>
      </c>
      <c r="L549" s="500"/>
      <c r="M549" s="502"/>
    </row>
    <row r="550" spans="1:13" x14ac:dyDescent="0.25">
      <c r="A550" s="500"/>
      <c r="B550" s="549">
        <v>42429</v>
      </c>
      <c r="C550" s="500">
        <v>2000</v>
      </c>
      <c r="D550" s="501">
        <v>8.1999999999999993</v>
      </c>
      <c r="E550" s="502">
        <v>0</v>
      </c>
      <c r="F550" s="502">
        <f t="shared" si="170"/>
        <v>16400</v>
      </c>
      <c r="G550" s="499">
        <v>42478</v>
      </c>
      <c r="H550" s="517">
        <v>500</v>
      </c>
      <c r="I550" s="501">
        <v>13.4</v>
      </c>
      <c r="J550" s="502">
        <v>0.15</v>
      </c>
      <c r="K550" s="502">
        <f t="shared" si="169"/>
        <v>6699.85</v>
      </c>
      <c r="L550" s="500"/>
      <c r="M550" s="502"/>
    </row>
    <row r="551" spans="1:13" x14ac:dyDescent="0.25">
      <c r="A551" s="502"/>
      <c r="B551" s="549">
        <v>42429</v>
      </c>
      <c r="C551" s="500">
        <v>500</v>
      </c>
      <c r="D551" s="501">
        <v>7.88</v>
      </c>
      <c r="E551" s="502">
        <v>0</v>
      </c>
      <c r="F551" s="502">
        <f t="shared" si="170"/>
        <v>3940</v>
      </c>
      <c r="G551" s="499">
        <v>42486</v>
      </c>
      <c r="H551" s="517">
        <v>500</v>
      </c>
      <c r="I551" s="501">
        <v>14.35</v>
      </c>
      <c r="J551" s="502">
        <v>0.16</v>
      </c>
      <c r="K551" s="502">
        <f t="shared" si="169"/>
        <v>7174.84</v>
      </c>
      <c r="L551" s="500"/>
      <c r="M551" s="502"/>
    </row>
    <row r="552" spans="1:13" x14ac:dyDescent="0.25">
      <c r="A552" s="500"/>
      <c r="B552" s="549">
        <v>42430</v>
      </c>
      <c r="C552" s="500">
        <v>1000</v>
      </c>
      <c r="D552" s="501">
        <v>7.77</v>
      </c>
      <c r="E552" s="502">
        <v>0</v>
      </c>
      <c r="F552" s="502">
        <f t="shared" si="170"/>
        <v>7770</v>
      </c>
      <c r="G552" s="499">
        <v>42487</v>
      </c>
      <c r="H552" s="517">
        <v>600</v>
      </c>
      <c r="I552" s="501">
        <v>14.85</v>
      </c>
      <c r="J552" s="502">
        <v>0.19</v>
      </c>
      <c r="K552" s="502">
        <f t="shared" si="169"/>
        <v>8909.81</v>
      </c>
      <c r="L552" s="500"/>
      <c r="M552" s="502"/>
    </row>
    <row r="553" spans="1:13" x14ac:dyDescent="0.25">
      <c r="A553" s="500"/>
      <c r="B553" s="549">
        <v>42430</v>
      </c>
      <c r="C553" s="500">
        <v>500</v>
      </c>
      <c r="D553" s="501">
        <v>7.94</v>
      </c>
      <c r="E553" s="502">
        <v>0</v>
      </c>
      <c r="F553" s="502">
        <f t="shared" si="170"/>
        <v>3970</v>
      </c>
      <c r="G553" s="499">
        <v>42489</v>
      </c>
      <c r="H553" s="517">
        <v>3000</v>
      </c>
      <c r="I553" s="501">
        <v>14.15</v>
      </c>
      <c r="J553" s="502">
        <v>0.93</v>
      </c>
      <c r="K553" s="502">
        <f t="shared" si="169"/>
        <v>42449.07</v>
      </c>
      <c r="L553" s="500"/>
      <c r="M553" s="502"/>
    </row>
    <row r="554" spans="1:13" x14ac:dyDescent="0.25">
      <c r="A554" s="500"/>
      <c r="B554" s="549">
        <v>42431</v>
      </c>
      <c r="C554" s="500">
        <v>1000</v>
      </c>
      <c r="D554" s="501">
        <v>8.3699999999999992</v>
      </c>
      <c r="E554" s="502">
        <v>0</v>
      </c>
      <c r="F554" s="502">
        <f t="shared" si="170"/>
        <v>8370</v>
      </c>
      <c r="G554" s="499">
        <v>42492</v>
      </c>
      <c r="H554" s="517">
        <v>1000</v>
      </c>
      <c r="I554" s="501">
        <v>13.48</v>
      </c>
      <c r="J554" s="502">
        <v>0.28999999999999998</v>
      </c>
      <c r="K554" s="502">
        <f t="shared" si="169"/>
        <v>13479.71</v>
      </c>
      <c r="L554" s="500"/>
      <c r="M554" s="502"/>
    </row>
    <row r="555" spans="1:13" x14ac:dyDescent="0.25">
      <c r="A555" s="500"/>
      <c r="B555" s="549">
        <v>42432</v>
      </c>
      <c r="C555" s="500">
        <v>600</v>
      </c>
      <c r="D555" s="501">
        <v>9.3699999999999992</v>
      </c>
      <c r="E555" s="502">
        <v>0</v>
      </c>
      <c r="F555" s="502">
        <f t="shared" si="170"/>
        <v>5621.9999999999991</v>
      </c>
      <c r="G555" s="499">
        <v>42492</v>
      </c>
      <c r="H555" s="517">
        <v>1000</v>
      </c>
      <c r="I555" s="501">
        <v>13.61</v>
      </c>
      <c r="J555" s="502">
        <v>0.3</v>
      </c>
      <c r="K555" s="502">
        <f t="shared" si="169"/>
        <v>13609.7</v>
      </c>
      <c r="L555" s="500"/>
      <c r="M555" s="502"/>
    </row>
    <row r="556" spans="1:13" x14ac:dyDescent="0.25">
      <c r="A556" s="500"/>
      <c r="B556" s="549">
        <v>42432</v>
      </c>
      <c r="C556" s="500">
        <v>600</v>
      </c>
      <c r="D556" s="501">
        <v>8.8800000000000008</v>
      </c>
      <c r="E556" s="502">
        <v>0</v>
      </c>
      <c r="F556" s="502">
        <f t="shared" si="170"/>
        <v>5328.0000000000009</v>
      </c>
      <c r="G556" s="499">
        <v>42493</v>
      </c>
      <c r="H556" s="517">
        <v>322</v>
      </c>
      <c r="I556" s="501">
        <v>13.28</v>
      </c>
      <c r="J556" s="502">
        <v>0.09</v>
      </c>
      <c r="K556" s="502">
        <f t="shared" si="169"/>
        <v>4276.07</v>
      </c>
      <c r="L556" s="500"/>
      <c r="M556" s="502"/>
    </row>
    <row r="557" spans="1:13" x14ac:dyDescent="0.25">
      <c r="A557" s="500"/>
      <c r="B557" s="549">
        <v>42433</v>
      </c>
      <c r="C557" s="500">
        <v>600</v>
      </c>
      <c r="D557" s="501">
        <v>10.42</v>
      </c>
      <c r="E557" s="502">
        <v>0</v>
      </c>
      <c r="F557" s="502">
        <f t="shared" si="170"/>
        <v>6252</v>
      </c>
      <c r="G557" s="499">
        <v>42495</v>
      </c>
      <c r="H557" s="517">
        <v>1000</v>
      </c>
      <c r="I557" s="501">
        <v>12.05</v>
      </c>
      <c r="J557" s="502">
        <v>0.26</v>
      </c>
      <c r="K557" s="502">
        <f t="shared" si="169"/>
        <v>12049.74</v>
      </c>
      <c r="L557" s="500"/>
      <c r="M557" s="502"/>
    </row>
    <row r="558" spans="1:13" x14ac:dyDescent="0.25">
      <c r="A558" s="500"/>
      <c r="B558" s="549">
        <v>42440</v>
      </c>
      <c r="C558" s="500">
        <v>400</v>
      </c>
      <c r="D558" s="501">
        <v>11.12</v>
      </c>
      <c r="E558" s="502">
        <v>0</v>
      </c>
      <c r="F558" s="502">
        <f t="shared" si="170"/>
        <v>4448</v>
      </c>
      <c r="G558" s="499">
        <v>42495</v>
      </c>
      <c r="H558" s="517">
        <v>2000</v>
      </c>
      <c r="I558" s="501">
        <v>12.63</v>
      </c>
      <c r="J558" s="502">
        <v>0.55000000000000004</v>
      </c>
      <c r="K558" s="502">
        <f t="shared" si="169"/>
        <v>25259.45</v>
      </c>
      <c r="L558" s="500"/>
      <c r="M558" s="502"/>
    </row>
    <row r="559" spans="1:13" x14ac:dyDescent="0.25">
      <c r="A559" s="500"/>
      <c r="B559" s="549">
        <v>42446</v>
      </c>
      <c r="C559" s="500">
        <v>1500</v>
      </c>
      <c r="D559" s="501">
        <v>11.445</v>
      </c>
      <c r="E559" s="502">
        <v>0</v>
      </c>
      <c r="F559" s="502">
        <f t="shared" si="170"/>
        <v>17167.5</v>
      </c>
      <c r="G559" s="499">
        <v>42500</v>
      </c>
      <c r="H559" s="517">
        <v>1000</v>
      </c>
      <c r="I559" s="501">
        <v>11.66</v>
      </c>
      <c r="J559" s="502">
        <v>5.25</v>
      </c>
      <c r="K559" s="502">
        <f t="shared" si="169"/>
        <v>11654.75</v>
      </c>
      <c r="L559" s="500"/>
      <c r="M559" s="502"/>
    </row>
    <row r="560" spans="1:13" x14ac:dyDescent="0.25">
      <c r="A560" s="500"/>
      <c r="B560" s="612">
        <v>42447</v>
      </c>
      <c r="C560" s="500">
        <v>1500</v>
      </c>
      <c r="D560" s="501">
        <v>11.42</v>
      </c>
      <c r="E560" s="502">
        <v>0</v>
      </c>
      <c r="F560" s="502">
        <f t="shared" si="170"/>
        <v>17130</v>
      </c>
      <c r="G560" s="499">
        <v>42502</v>
      </c>
      <c r="H560" s="517">
        <v>1500</v>
      </c>
      <c r="I560" s="501">
        <v>12.36</v>
      </c>
      <c r="J560" s="502">
        <v>0.4</v>
      </c>
      <c r="K560" s="502">
        <f t="shared" si="169"/>
        <v>18539.599999999999</v>
      </c>
      <c r="L560" s="500"/>
      <c r="M560" s="502"/>
    </row>
    <row r="561" spans="1:13" x14ac:dyDescent="0.25">
      <c r="A561" s="500"/>
      <c r="B561" s="617"/>
      <c r="C561" s="500">
        <v>500</v>
      </c>
      <c r="D561" s="501">
        <v>11.42</v>
      </c>
      <c r="E561" s="502">
        <v>0</v>
      </c>
      <c r="F561" s="502">
        <f t="shared" si="170"/>
        <v>5710</v>
      </c>
      <c r="G561" s="499">
        <v>42503</v>
      </c>
      <c r="H561" s="517">
        <v>500</v>
      </c>
      <c r="I561" s="501">
        <v>12.49</v>
      </c>
      <c r="J561" s="502">
        <v>0.14000000000000001</v>
      </c>
      <c r="K561" s="502">
        <f t="shared" si="169"/>
        <v>6244.86</v>
      </c>
      <c r="L561" s="500"/>
      <c r="M561" s="502"/>
    </row>
    <row r="562" spans="1:13" x14ac:dyDescent="0.25">
      <c r="A562" s="500"/>
      <c r="B562" s="549">
        <v>42447</v>
      </c>
      <c r="C562" s="500">
        <v>650</v>
      </c>
      <c r="D562" s="501">
        <v>11.545</v>
      </c>
      <c r="E562" s="502">
        <v>0.75</v>
      </c>
      <c r="F562" s="502">
        <f t="shared" si="170"/>
        <v>7505</v>
      </c>
      <c r="G562" s="499">
        <v>42506</v>
      </c>
      <c r="H562" s="517">
        <v>300</v>
      </c>
      <c r="I562" s="501">
        <v>12.85</v>
      </c>
      <c r="J562" s="502">
        <v>0.08</v>
      </c>
      <c r="K562" s="502">
        <f t="shared" si="169"/>
        <v>3854.92</v>
      </c>
      <c r="L562" s="500"/>
      <c r="M562" s="502"/>
    </row>
    <row r="563" spans="1:13" x14ac:dyDescent="0.25">
      <c r="A563" s="500"/>
      <c r="B563" s="549">
        <v>42450</v>
      </c>
      <c r="C563" s="500">
        <v>1350</v>
      </c>
      <c r="D563" s="501">
        <v>11.42</v>
      </c>
      <c r="E563" s="502">
        <v>0</v>
      </c>
      <c r="F563" s="502">
        <f t="shared" si="170"/>
        <v>15417</v>
      </c>
      <c r="G563" s="499">
        <v>42513</v>
      </c>
      <c r="H563" s="517">
        <v>500</v>
      </c>
      <c r="I563" s="501">
        <v>13.05</v>
      </c>
      <c r="J563" s="502">
        <v>0.14000000000000001</v>
      </c>
      <c r="K563" s="502">
        <f t="shared" si="169"/>
        <v>6524.86</v>
      </c>
      <c r="L563" s="500"/>
      <c r="M563" s="502"/>
    </row>
    <row r="564" spans="1:13" x14ac:dyDescent="0.25">
      <c r="A564" s="500"/>
      <c r="B564" s="549">
        <v>42451</v>
      </c>
      <c r="C564" s="500">
        <v>1000</v>
      </c>
      <c r="D564" s="501">
        <v>11.38</v>
      </c>
      <c r="E564" s="502">
        <v>0</v>
      </c>
      <c r="F564" s="502">
        <f t="shared" si="170"/>
        <v>11380</v>
      </c>
      <c r="G564" s="499">
        <v>42515</v>
      </c>
      <c r="H564" s="517">
        <v>500</v>
      </c>
      <c r="I564" s="501">
        <v>13.59</v>
      </c>
      <c r="J564" s="502">
        <v>0.15</v>
      </c>
      <c r="K564" s="502">
        <f t="shared" si="169"/>
        <v>6794.85</v>
      </c>
      <c r="L564" s="500"/>
      <c r="M564" s="502"/>
    </row>
    <row r="565" spans="1:13" x14ac:dyDescent="0.25">
      <c r="A565" s="500"/>
      <c r="B565" s="612">
        <v>42451</v>
      </c>
      <c r="C565" s="500">
        <v>50</v>
      </c>
      <c r="D565" s="501">
        <v>11.22</v>
      </c>
      <c r="E565" s="502">
        <v>0</v>
      </c>
      <c r="F565" s="502">
        <f t="shared" si="170"/>
        <v>561</v>
      </c>
      <c r="G565" s="499">
        <v>42515</v>
      </c>
      <c r="H565" s="517">
        <v>500</v>
      </c>
      <c r="I565" s="501">
        <v>13.57</v>
      </c>
      <c r="J565" s="502">
        <v>0.15</v>
      </c>
      <c r="K565" s="502">
        <f t="shared" si="169"/>
        <v>6784.85</v>
      </c>
      <c r="L565" s="500"/>
      <c r="M565" s="502"/>
    </row>
    <row r="566" spans="1:13" x14ac:dyDescent="0.25">
      <c r="A566" s="500"/>
      <c r="B566" s="612"/>
      <c r="C566" s="500">
        <v>350</v>
      </c>
      <c r="D566" s="501">
        <v>11.22</v>
      </c>
      <c r="E566" s="502">
        <v>0</v>
      </c>
      <c r="F566" s="502">
        <f t="shared" si="170"/>
        <v>3927</v>
      </c>
      <c r="G566" s="499">
        <v>42517</v>
      </c>
      <c r="H566" s="517">
        <v>500</v>
      </c>
      <c r="I566" s="501">
        <v>12.87</v>
      </c>
      <c r="J566" s="502">
        <v>0.14000000000000001</v>
      </c>
      <c r="K566" s="502">
        <f t="shared" si="169"/>
        <v>6434.86</v>
      </c>
      <c r="L566" s="500"/>
      <c r="M566" s="502"/>
    </row>
    <row r="567" spans="1:13" ht="45" x14ac:dyDescent="0.25">
      <c r="A567" s="500"/>
      <c r="B567" s="616" t="s">
        <v>193</v>
      </c>
      <c r="C567" s="500">
        <v>650</v>
      </c>
      <c r="D567" s="501">
        <v>11.22</v>
      </c>
      <c r="E567" s="502">
        <v>0</v>
      </c>
      <c r="F567" s="502">
        <f t="shared" si="170"/>
        <v>7293</v>
      </c>
      <c r="G567" s="499">
        <v>42524</v>
      </c>
      <c r="H567" s="517">
        <v>400</v>
      </c>
      <c r="I567" s="501">
        <v>13.38</v>
      </c>
      <c r="J567" s="502">
        <v>0.12</v>
      </c>
      <c r="K567" s="502">
        <f t="shared" si="169"/>
        <v>5351.88</v>
      </c>
      <c r="L567" s="500"/>
      <c r="M567" s="502"/>
    </row>
    <row r="568" spans="1:13" x14ac:dyDescent="0.25">
      <c r="A568" s="500"/>
      <c r="B568" s="616"/>
      <c r="C568" s="500">
        <v>500</v>
      </c>
      <c r="D568" s="501">
        <v>11.01</v>
      </c>
      <c r="E568" s="502">
        <v>0</v>
      </c>
      <c r="F568" s="502">
        <f t="shared" si="170"/>
        <v>5505</v>
      </c>
      <c r="G568" s="499">
        <v>42527</v>
      </c>
      <c r="H568" s="517">
        <v>1000</v>
      </c>
      <c r="I568" s="501">
        <v>13.82</v>
      </c>
      <c r="J568" s="502">
        <v>0.3</v>
      </c>
      <c r="K568" s="502">
        <f t="shared" si="169"/>
        <v>13819.7</v>
      </c>
      <c r="L568" s="500"/>
      <c r="M568" s="502"/>
    </row>
    <row r="569" spans="1:13" x14ac:dyDescent="0.25">
      <c r="A569" s="500"/>
      <c r="B569" s="616"/>
      <c r="C569" s="500">
        <v>500</v>
      </c>
      <c r="D569" s="501">
        <v>10.75</v>
      </c>
      <c r="E569" s="502">
        <v>0</v>
      </c>
      <c r="F569" s="502">
        <f t="shared" si="170"/>
        <v>5375</v>
      </c>
      <c r="G569" s="499">
        <v>42527</v>
      </c>
      <c r="H569" s="517">
        <v>500</v>
      </c>
      <c r="I569" s="501">
        <v>13.97</v>
      </c>
      <c r="J569" s="502">
        <v>1.1499999999999999</v>
      </c>
      <c r="K569" s="502">
        <f t="shared" si="169"/>
        <v>6983.85</v>
      </c>
      <c r="L569" s="500"/>
      <c r="M569" s="502"/>
    </row>
    <row r="570" spans="1:13" x14ac:dyDescent="0.25">
      <c r="A570" s="500"/>
      <c r="B570" s="616"/>
      <c r="C570" s="500">
        <v>1000</v>
      </c>
      <c r="D570" s="501">
        <v>10.4</v>
      </c>
      <c r="E570" s="502">
        <v>0</v>
      </c>
      <c r="F570" s="502">
        <f t="shared" si="170"/>
        <v>10400</v>
      </c>
      <c r="G570" s="499">
        <v>42528</v>
      </c>
      <c r="H570" s="517">
        <v>500</v>
      </c>
      <c r="I570" s="501">
        <v>14.65</v>
      </c>
      <c r="J570" s="502">
        <v>0.16</v>
      </c>
      <c r="K570" s="502">
        <f t="shared" si="169"/>
        <v>7324.84</v>
      </c>
      <c r="L570" s="500"/>
      <c r="M570" s="502"/>
    </row>
    <row r="571" spans="1:13" x14ac:dyDescent="0.25">
      <c r="A571" s="500"/>
      <c r="B571" s="616"/>
      <c r="C571" s="500">
        <v>1000</v>
      </c>
      <c r="D571" s="501">
        <v>10.185</v>
      </c>
      <c r="E571" s="502">
        <v>0</v>
      </c>
      <c r="F571" s="502">
        <f t="shared" si="170"/>
        <v>10185</v>
      </c>
      <c r="G571" s="499">
        <v>42536</v>
      </c>
      <c r="H571" s="517">
        <v>400</v>
      </c>
      <c r="I571" s="501">
        <v>13.43</v>
      </c>
      <c r="J571" s="502">
        <v>0.12</v>
      </c>
      <c r="K571" s="502">
        <f t="shared" si="169"/>
        <v>5371.88</v>
      </c>
      <c r="L571" s="500"/>
      <c r="M571" s="502"/>
    </row>
    <row r="572" spans="1:13" x14ac:dyDescent="0.25">
      <c r="A572" s="500"/>
      <c r="B572" s="549">
        <v>42461</v>
      </c>
      <c r="C572" s="500">
        <v>2000</v>
      </c>
      <c r="D572" s="501">
        <v>10.43</v>
      </c>
      <c r="E572" s="502">
        <v>0</v>
      </c>
      <c r="F572" s="502">
        <f t="shared" si="170"/>
        <v>20860</v>
      </c>
      <c r="G572" s="499">
        <v>42537</v>
      </c>
      <c r="H572" s="517">
        <v>400</v>
      </c>
      <c r="I572" s="501">
        <v>12.69</v>
      </c>
      <c r="J572" s="502">
        <v>0.11</v>
      </c>
      <c r="K572" s="502">
        <f t="shared" si="169"/>
        <v>5075.8900000000003</v>
      </c>
      <c r="L572" s="500"/>
      <c r="M572" s="502"/>
    </row>
    <row r="573" spans="1:13" x14ac:dyDescent="0.25">
      <c r="A573" s="500"/>
      <c r="B573" s="549">
        <v>42461</v>
      </c>
      <c r="C573" s="500">
        <v>2000</v>
      </c>
      <c r="D573" s="501">
        <v>10.42</v>
      </c>
      <c r="E573" s="502">
        <v>0</v>
      </c>
      <c r="F573" s="502">
        <f t="shared" si="170"/>
        <v>20840</v>
      </c>
      <c r="G573" s="499">
        <v>42538</v>
      </c>
      <c r="H573" s="517">
        <v>500</v>
      </c>
      <c r="I573" s="501">
        <v>13.34</v>
      </c>
      <c r="J573" s="502">
        <v>0.15</v>
      </c>
      <c r="K573" s="502">
        <f t="shared" si="169"/>
        <v>6669.85</v>
      </c>
      <c r="L573" s="500"/>
      <c r="M573" s="502"/>
    </row>
    <row r="574" spans="1:13" ht="45" x14ac:dyDescent="0.25">
      <c r="A574" s="500"/>
      <c r="B574" s="549">
        <v>42465</v>
      </c>
      <c r="C574" s="500">
        <v>100</v>
      </c>
      <c r="D574" s="501">
        <v>10.4</v>
      </c>
      <c r="E574" s="502">
        <v>0</v>
      </c>
      <c r="F574" s="502">
        <f t="shared" si="170"/>
        <v>1040</v>
      </c>
      <c r="G574" s="618" t="s">
        <v>220</v>
      </c>
      <c r="H574" s="517">
        <v>500</v>
      </c>
      <c r="I574" s="501">
        <v>13.91</v>
      </c>
      <c r="J574" s="502">
        <v>0.15</v>
      </c>
      <c r="K574" s="502">
        <f t="shared" si="169"/>
        <v>6954.85</v>
      </c>
      <c r="L574" s="500"/>
      <c r="M574" s="502"/>
    </row>
    <row r="575" spans="1:13" x14ac:dyDescent="0.25">
      <c r="A575" s="500"/>
      <c r="B575" s="549">
        <v>42471</v>
      </c>
      <c r="C575" s="500">
        <v>500</v>
      </c>
      <c r="D575" s="501">
        <v>11.77</v>
      </c>
      <c r="E575" s="502">
        <v>0</v>
      </c>
      <c r="F575" s="502">
        <f t="shared" si="170"/>
        <v>5885</v>
      </c>
      <c r="G575" s="618"/>
      <c r="H575" s="517">
        <v>600</v>
      </c>
      <c r="I575" s="501">
        <v>14.36</v>
      </c>
      <c r="J575" s="502">
        <v>0.19</v>
      </c>
      <c r="K575" s="502">
        <f t="shared" si="169"/>
        <v>8615.81</v>
      </c>
      <c r="L575" s="500"/>
      <c r="M575" s="502"/>
    </row>
    <row r="576" spans="1:13" x14ac:dyDescent="0.25">
      <c r="A576" s="500"/>
      <c r="B576" s="549">
        <v>42471</v>
      </c>
      <c r="C576" s="500">
        <v>500</v>
      </c>
      <c r="D576" s="501">
        <v>11.55</v>
      </c>
      <c r="E576" s="502">
        <v>0</v>
      </c>
      <c r="F576" s="502">
        <f t="shared" si="170"/>
        <v>5775</v>
      </c>
      <c r="G576" s="618"/>
      <c r="H576" s="517">
        <v>500</v>
      </c>
      <c r="I576" s="501">
        <v>14.65</v>
      </c>
      <c r="J576" s="502">
        <v>0.16</v>
      </c>
      <c r="K576" s="502">
        <f t="shared" si="169"/>
        <v>7324.84</v>
      </c>
      <c r="L576" s="500"/>
      <c r="M576" s="502"/>
    </row>
    <row r="577" spans="1:13" x14ac:dyDescent="0.25">
      <c r="A577" s="500"/>
      <c r="B577" s="549">
        <v>42472</v>
      </c>
      <c r="C577" s="500">
        <v>610</v>
      </c>
      <c r="D577" s="501">
        <v>12.95</v>
      </c>
      <c r="E577" s="502">
        <v>0</v>
      </c>
      <c r="F577" s="502">
        <f t="shared" si="170"/>
        <v>7899.5</v>
      </c>
      <c r="G577" s="499">
        <v>42542</v>
      </c>
      <c r="H577" s="517">
        <v>500</v>
      </c>
      <c r="I577" s="501">
        <v>14.95</v>
      </c>
      <c r="J577" s="502">
        <v>0.16</v>
      </c>
      <c r="K577" s="502">
        <f t="shared" si="169"/>
        <v>7474.84</v>
      </c>
      <c r="L577" s="500"/>
      <c r="M577" s="502"/>
    </row>
    <row r="578" spans="1:13" x14ac:dyDescent="0.25">
      <c r="A578" s="500"/>
      <c r="B578" s="549">
        <v>42473</v>
      </c>
      <c r="C578" s="500">
        <v>970</v>
      </c>
      <c r="D578" s="501">
        <v>12.76</v>
      </c>
      <c r="E578" s="502">
        <v>4.0999999999999996</v>
      </c>
      <c r="F578" s="502">
        <f t="shared" si="170"/>
        <v>12381.3</v>
      </c>
      <c r="G578" s="499">
        <v>42542</v>
      </c>
      <c r="H578" s="517">
        <v>378</v>
      </c>
      <c r="I578" s="501">
        <v>15.2</v>
      </c>
      <c r="J578" s="502">
        <v>0.13</v>
      </c>
      <c r="K578" s="502">
        <f t="shared" si="169"/>
        <v>5745.4699999999993</v>
      </c>
      <c r="L578" s="500"/>
      <c r="M578" s="502"/>
    </row>
    <row r="579" spans="1:13" x14ac:dyDescent="0.25">
      <c r="A579" s="500"/>
      <c r="B579" s="549">
        <v>42474</v>
      </c>
      <c r="C579" s="500">
        <v>420</v>
      </c>
      <c r="D579" s="501">
        <v>12.755000000000001</v>
      </c>
      <c r="E579" s="502">
        <v>0.34</v>
      </c>
      <c r="F579" s="502">
        <f t="shared" si="170"/>
        <v>5357.4400000000005</v>
      </c>
      <c r="G579" s="500"/>
      <c r="H579" s="517"/>
      <c r="I579" s="501"/>
      <c r="J579" s="502"/>
      <c r="K579" s="502"/>
      <c r="L579" s="500"/>
      <c r="M579" s="502"/>
    </row>
    <row r="580" spans="1:13" x14ac:dyDescent="0.25">
      <c r="A580" s="500"/>
      <c r="B580" s="549">
        <v>42475</v>
      </c>
      <c r="C580" s="500">
        <v>500</v>
      </c>
      <c r="D580" s="501">
        <v>13.02</v>
      </c>
      <c r="E580" s="502">
        <v>-1.75</v>
      </c>
      <c r="F580" s="502">
        <f t="shared" si="170"/>
        <v>6508.25</v>
      </c>
      <c r="G580" s="500"/>
      <c r="H580" s="517"/>
      <c r="I580" s="501"/>
      <c r="J580" s="502"/>
      <c r="K580" s="502"/>
      <c r="L580" s="500"/>
      <c r="M580" s="502"/>
    </row>
    <row r="581" spans="1:13" x14ac:dyDescent="0.25">
      <c r="A581" s="500"/>
      <c r="B581" s="549">
        <v>42485</v>
      </c>
      <c r="C581" s="500">
        <v>500</v>
      </c>
      <c r="D581" s="501">
        <v>13.95</v>
      </c>
      <c r="E581" s="502">
        <v>0</v>
      </c>
      <c r="F581" s="502">
        <f t="shared" si="170"/>
        <v>6975</v>
      </c>
      <c r="G581" s="500"/>
      <c r="H581" s="517"/>
      <c r="I581" s="501"/>
      <c r="J581" s="502"/>
      <c r="K581" s="502"/>
      <c r="L581" s="500"/>
      <c r="M581" s="502"/>
    </row>
    <row r="582" spans="1:13" x14ac:dyDescent="0.25">
      <c r="A582" s="500"/>
      <c r="B582" s="549">
        <v>42487</v>
      </c>
      <c r="C582" s="500">
        <v>600</v>
      </c>
      <c r="D582" s="501">
        <v>14.63</v>
      </c>
      <c r="E582" s="502">
        <v>0</v>
      </c>
      <c r="F582" s="502">
        <f t="shared" si="170"/>
        <v>8778</v>
      </c>
      <c r="G582" s="500"/>
      <c r="H582" s="517"/>
      <c r="I582" s="501"/>
      <c r="J582" s="502"/>
      <c r="K582" s="502"/>
      <c r="L582" s="500"/>
      <c r="M582" s="502"/>
    </row>
    <row r="583" spans="1:13" x14ac:dyDescent="0.25">
      <c r="A583" s="500"/>
      <c r="B583" s="549">
        <v>42488</v>
      </c>
      <c r="C583" s="500">
        <v>500</v>
      </c>
      <c r="D583" s="501">
        <v>14.52</v>
      </c>
      <c r="E583" s="502">
        <v>0</v>
      </c>
      <c r="F583" s="502">
        <f t="shared" si="170"/>
        <v>7260</v>
      </c>
      <c r="G583" s="500"/>
      <c r="H583" s="517"/>
      <c r="I583" s="501"/>
      <c r="J583" s="502"/>
      <c r="K583" s="502"/>
      <c r="L583" s="500"/>
      <c r="M583" s="502"/>
    </row>
    <row r="584" spans="1:13" ht="30" x14ac:dyDescent="0.25">
      <c r="A584" s="619" t="s">
        <v>198</v>
      </c>
      <c r="B584" s="549">
        <v>42489</v>
      </c>
      <c r="C584" s="500">
        <v>500</v>
      </c>
      <c r="D584" s="501">
        <v>14.35</v>
      </c>
      <c r="E584" s="502">
        <v>0</v>
      </c>
      <c r="F584" s="502">
        <f t="shared" si="170"/>
        <v>7175</v>
      </c>
      <c r="G584" s="500"/>
      <c r="H584" s="517"/>
      <c r="I584" s="501"/>
      <c r="J584" s="502"/>
      <c r="K584" s="502"/>
      <c r="L584" s="500"/>
      <c r="M584" s="502"/>
    </row>
    <row r="585" spans="1:13" x14ac:dyDescent="0.25">
      <c r="A585" s="619"/>
      <c r="B585" s="549">
        <v>42489</v>
      </c>
      <c r="C585" s="500">
        <v>500</v>
      </c>
      <c r="D585" s="501">
        <v>14.15</v>
      </c>
      <c r="E585" s="502">
        <v>0</v>
      </c>
      <c r="F585" s="502">
        <f t="shared" si="170"/>
        <v>7075</v>
      </c>
      <c r="G585" s="500"/>
      <c r="H585" s="517"/>
      <c r="I585" s="501"/>
      <c r="J585" s="502"/>
      <c r="K585" s="502"/>
      <c r="L585" s="500"/>
      <c r="M585" s="502"/>
    </row>
    <row r="586" spans="1:13" x14ac:dyDescent="0.25">
      <c r="A586" s="619"/>
      <c r="B586" s="549">
        <v>42489</v>
      </c>
      <c r="C586" s="500">
        <v>1000</v>
      </c>
      <c r="D586" s="501">
        <v>13.92</v>
      </c>
      <c r="E586" s="502">
        <v>0</v>
      </c>
      <c r="F586" s="502">
        <f t="shared" si="170"/>
        <v>13920</v>
      </c>
      <c r="G586" s="500"/>
      <c r="H586" s="517"/>
      <c r="I586" s="501"/>
      <c r="J586" s="502"/>
      <c r="K586" s="502"/>
      <c r="L586" s="500"/>
      <c r="M586" s="502"/>
    </row>
    <row r="587" spans="1:13" x14ac:dyDescent="0.25">
      <c r="A587" s="619"/>
      <c r="B587" s="549">
        <v>42489</v>
      </c>
      <c r="C587" s="500">
        <v>1000</v>
      </c>
      <c r="D587" s="501">
        <v>13.8</v>
      </c>
      <c r="E587" s="502">
        <v>0</v>
      </c>
      <c r="F587" s="502">
        <f t="shared" si="170"/>
        <v>13800</v>
      </c>
      <c r="G587" s="500"/>
      <c r="H587" s="517"/>
      <c r="I587" s="501"/>
      <c r="J587" s="502"/>
      <c r="K587" s="502"/>
      <c r="L587" s="500"/>
      <c r="M587" s="502"/>
    </row>
    <row r="588" spans="1:13" x14ac:dyDescent="0.25">
      <c r="A588" s="500"/>
      <c r="B588" s="549">
        <v>42492</v>
      </c>
      <c r="C588" s="500">
        <v>1500</v>
      </c>
      <c r="D588" s="501">
        <v>13.25</v>
      </c>
      <c r="E588" s="502">
        <v>0</v>
      </c>
      <c r="F588" s="502">
        <f t="shared" si="170"/>
        <v>19875</v>
      </c>
      <c r="G588" s="500"/>
      <c r="H588" s="517"/>
      <c r="I588" s="501"/>
      <c r="J588" s="502"/>
      <c r="K588" s="502"/>
      <c r="L588" s="500"/>
      <c r="M588" s="502"/>
    </row>
    <row r="589" spans="1:13" x14ac:dyDescent="0.25">
      <c r="A589" s="500"/>
      <c r="B589" s="549">
        <v>42492</v>
      </c>
      <c r="C589" s="500">
        <v>500</v>
      </c>
      <c r="D589" s="501">
        <v>13.6</v>
      </c>
      <c r="E589" s="502">
        <v>0</v>
      </c>
      <c r="F589" s="502">
        <f t="shared" si="170"/>
        <v>6800</v>
      </c>
      <c r="G589" s="500"/>
      <c r="H589" s="517"/>
      <c r="I589" s="501"/>
      <c r="J589" s="502"/>
      <c r="K589" s="502"/>
      <c r="L589" s="500"/>
      <c r="M589" s="502"/>
    </row>
    <row r="590" spans="1:13" x14ac:dyDescent="0.25">
      <c r="A590" s="500"/>
      <c r="B590" s="549">
        <v>42493</v>
      </c>
      <c r="C590" s="500">
        <v>322</v>
      </c>
      <c r="D590" s="501">
        <v>12.85</v>
      </c>
      <c r="E590" s="502">
        <v>0</v>
      </c>
      <c r="F590" s="502">
        <f t="shared" si="170"/>
        <v>4137.7</v>
      </c>
      <c r="G590" s="500"/>
      <c r="H590" s="517"/>
      <c r="I590" s="501"/>
      <c r="J590" s="502"/>
      <c r="K590" s="502"/>
      <c r="L590" s="500"/>
      <c r="M590" s="502"/>
    </row>
    <row r="591" spans="1:13" ht="30" x14ac:dyDescent="0.25">
      <c r="A591" s="603" t="s">
        <v>202</v>
      </c>
      <c r="B591" s="549">
        <v>42494</v>
      </c>
      <c r="C591" s="500">
        <v>1000</v>
      </c>
      <c r="D591" s="501">
        <v>12.25</v>
      </c>
      <c r="E591" s="502">
        <v>0</v>
      </c>
      <c r="F591" s="502">
        <f t="shared" si="170"/>
        <v>12250</v>
      </c>
      <c r="G591" s="500"/>
      <c r="H591" s="517"/>
      <c r="I591" s="501"/>
      <c r="J591" s="502"/>
      <c r="K591" s="502"/>
      <c r="L591" s="500"/>
      <c r="M591" s="502"/>
    </row>
    <row r="592" spans="1:13" x14ac:dyDescent="0.25">
      <c r="A592" s="603"/>
      <c r="B592" s="549">
        <v>42494</v>
      </c>
      <c r="C592" s="500">
        <v>500</v>
      </c>
      <c r="D592" s="501">
        <v>12.53</v>
      </c>
      <c r="E592" s="502">
        <v>0</v>
      </c>
      <c r="F592" s="502">
        <f t="shared" si="170"/>
        <v>6265</v>
      </c>
      <c r="G592" s="500"/>
      <c r="H592" s="517"/>
      <c r="I592" s="501"/>
      <c r="J592" s="502"/>
      <c r="K592" s="502"/>
      <c r="L592" s="500"/>
      <c r="M592" s="502"/>
    </row>
    <row r="593" spans="1:13" x14ac:dyDescent="0.25">
      <c r="A593" s="603"/>
      <c r="B593" s="549">
        <v>42494</v>
      </c>
      <c r="C593" s="500">
        <v>500</v>
      </c>
      <c r="D593" s="501">
        <v>12.65</v>
      </c>
      <c r="E593" s="502">
        <v>0</v>
      </c>
      <c r="F593" s="502">
        <f t="shared" si="170"/>
        <v>6325</v>
      </c>
      <c r="G593" s="500"/>
      <c r="H593" s="517"/>
      <c r="I593" s="501"/>
      <c r="J593" s="502"/>
      <c r="K593" s="502"/>
      <c r="L593" s="500"/>
      <c r="M593" s="502"/>
    </row>
    <row r="594" spans="1:13" x14ac:dyDescent="0.25">
      <c r="A594" s="500"/>
      <c r="B594" s="549">
        <v>42495</v>
      </c>
      <c r="C594" s="500">
        <v>1000</v>
      </c>
      <c r="D594" s="501">
        <v>11.95</v>
      </c>
      <c r="E594" s="502">
        <v>0</v>
      </c>
      <c r="F594" s="502">
        <f t="shared" si="170"/>
        <v>11950</v>
      </c>
      <c r="G594" s="500"/>
      <c r="H594" s="517"/>
      <c r="I594" s="501"/>
      <c r="J594" s="502"/>
      <c r="K594" s="502"/>
      <c r="L594" s="500"/>
      <c r="M594" s="502"/>
    </row>
    <row r="595" spans="1:13" x14ac:dyDescent="0.25">
      <c r="A595" s="500"/>
      <c r="B595" s="549">
        <v>42499</v>
      </c>
      <c r="C595" s="500">
        <v>500</v>
      </c>
      <c r="D595" s="501">
        <v>11.48</v>
      </c>
      <c r="E595" s="502">
        <v>0</v>
      </c>
      <c r="F595" s="502">
        <f t="shared" si="170"/>
        <v>5740</v>
      </c>
      <c r="G595" s="500"/>
      <c r="H595" s="517"/>
      <c r="I595" s="501"/>
      <c r="J595" s="502"/>
      <c r="K595" s="502"/>
      <c r="L595" s="500"/>
      <c r="M595" s="502"/>
    </row>
    <row r="596" spans="1:13" x14ac:dyDescent="0.25">
      <c r="A596" s="500"/>
      <c r="B596" s="549">
        <v>42499</v>
      </c>
      <c r="C596" s="500">
        <v>500</v>
      </c>
      <c r="D596" s="501">
        <v>11.32</v>
      </c>
      <c r="E596" s="502">
        <v>0</v>
      </c>
      <c r="F596" s="502">
        <f t="shared" si="170"/>
        <v>5660</v>
      </c>
      <c r="G596" s="500"/>
      <c r="H596" s="517"/>
      <c r="I596" s="501"/>
      <c r="J596" s="502"/>
      <c r="K596" s="502"/>
      <c r="L596" s="500"/>
      <c r="M596" s="502"/>
    </row>
    <row r="597" spans="1:13" ht="30" x14ac:dyDescent="0.25">
      <c r="A597" s="619" t="s">
        <v>205</v>
      </c>
      <c r="B597" s="549">
        <v>42502</v>
      </c>
      <c r="C597" s="500">
        <v>500</v>
      </c>
      <c r="D597" s="501">
        <v>12.38</v>
      </c>
      <c r="E597" s="502">
        <v>0</v>
      </c>
      <c r="F597" s="502">
        <f t="shared" si="170"/>
        <v>6190</v>
      </c>
      <c r="G597" s="500"/>
      <c r="H597" s="517"/>
      <c r="I597" s="501"/>
      <c r="J597" s="502"/>
      <c r="K597" s="502"/>
      <c r="L597" s="500"/>
      <c r="M597" s="502"/>
    </row>
    <row r="598" spans="1:13" x14ac:dyDescent="0.25">
      <c r="A598" s="619"/>
      <c r="B598" s="549">
        <v>42502</v>
      </c>
      <c r="C598" s="500">
        <v>500</v>
      </c>
      <c r="D598" s="501">
        <v>12.3</v>
      </c>
      <c r="E598" s="502">
        <v>0</v>
      </c>
      <c r="F598" s="502">
        <f t="shared" si="170"/>
        <v>6150</v>
      </c>
      <c r="G598" s="500"/>
      <c r="H598" s="517"/>
      <c r="I598" s="501"/>
      <c r="J598" s="502"/>
      <c r="K598" s="502"/>
      <c r="L598" s="500"/>
      <c r="M598" s="502"/>
    </row>
    <row r="599" spans="1:13" x14ac:dyDescent="0.25">
      <c r="A599" s="619"/>
      <c r="B599" s="549">
        <v>42502</v>
      </c>
      <c r="C599" s="500">
        <v>500</v>
      </c>
      <c r="D599" s="501">
        <v>12.23</v>
      </c>
      <c r="E599" s="502">
        <v>0</v>
      </c>
      <c r="F599" s="502">
        <f t="shared" si="170"/>
        <v>6115</v>
      </c>
      <c r="G599" s="500"/>
      <c r="H599" s="517"/>
      <c r="I599" s="501"/>
      <c r="J599" s="502"/>
      <c r="K599" s="502"/>
      <c r="L599" s="500"/>
      <c r="M599" s="502"/>
    </row>
    <row r="600" spans="1:13" x14ac:dyDescent="0.25">
      <c r="A600" s="500"/>
      <c r="B600" s="549">
        <v>42503</v>
      </c>
      <c r="C600" s="500">
        <v>500</v>
      </c>
      <c r="D600" s="501">
        <v>12.41</v>
      </c>
      <c r="E600" s="502">
        <v>0</v>
      </c>
      <c r="F600" s="502">
        <f t="shared" si="170"/>
        <v>6205</v>
      </c>
      <c r="G600" s="500"/>
      <c r="H600" s="517"/>
      <c r="I600" s="501"/>
      <c r="J600" s="502"/>
      <c r="K600" s="502"/>
      <c r="L600" s="500"/>
      <c r="M600" s="502"/>
    </row>
    <row r="601" spans="1:13" x14ac:dyDescent="0.25">
      <c r="A601" s="500"/>
      <c r="B601" s="549">
        <v>42506</v>
      </c>
      <c r="C601" s="500">
        <v>300</v>
      </c>
      <c r="D601" s="501">
        <v>12.8</v>
      </c>
      <c r="E601" s="502">
        <v>0</v>
      </c>
      <c r="F601" s="502">
        <f t="shared" si="170"/>
        <v>3840</v>
      </c>
      <c r="G601" s="500"/>
      <c r="H601" s="517"/>
      <c r="I601" s="501"/>
      <c r="J601" s="502"/>
      <c r="K601" s="502"/>
      <c r="L601" s="500"/>
      <c r="M601" s="502"/>
    </row>
    <row r="602" spans="1:13" x14ac:dyDescent="0.25">
      <c r="A602" s="500"/>
      <c r="B602" s="549">
        <v>42514</v>
      </c>
      <c r="C602" s="500">
        <v>500</v>
      </c>
      <c r="D602" s="501">
        <v>13.02</v>
      </c>
      <c r="E602" s="502">
        <v>-1.65</v>
      </c>
      <c r="F602" s="502">
        <f t="shared" ref="F602:F665" si="171">C602*D602+E602</f>
        <v>6508.35</v>
      </c>
      <c r="G602" s="500"/>
      <c r="H602" s="517"/>
      <c r="I602" s="501"/>
      <c r="J602" s="502"/>
      <c r="K602" s="502"/>
      <c r="L602" s="500"/>
      <c r="M602" s="502"/>
    </row>
    <row r="603" spans="1:13" x14ac:dyDescent="0.25">
      <c r="A603" s="500"/>
      <c r="B603" s="549">
        <v>42515</v>
      </c>
      <c r="C603" s="500">
        <v>500</v>
      </c>
      <c r="D603" s="501">
        <v>13.45</v>
      </c>
      <c r="E603" s="502">
        <v>1</v>
      </c>
      <c r="F603" s="502">
        <f t="shared" si="171"/>
        <v>6726</v>
      </c>
      <c r="G603" s="500"/>
      <c r="H603" s="517"/>
      <c r="I603" s="501"/>
      <c r="J603" s="502"/>
      <c r="K603" s="502"/>
      <c r="L603" s="500"/>
      <c r="M603" s="502"/>
    </row>
    <row r="604" spans="1:13" x14ac:dyDescent="0.25">
      <c r="A604" s="500"/>
      <c r="B604" s="549">
        <v>42516</v>
      </c>
      <c r="C604" s="500">
        <v>500</v>
      </c>
      <c r="D604" s="501">
        <v>13.28</v>
      </c>
      <c r="E604" s="502">
        <v>-1.04</v>
      </c>
      <c r="F604" s="502">
        <f t="shared" si="171"/>
        <v>6638.96</v>
      </c>
      <c r="G604" s="500"/>
      <c r="H604" s="517"/>
      <c r="I604" s="501"/>
      <c r="J604" s="502"/>
      <c r="K604" s="502"/>
      <c r="L604" s="500"/>
      <c r="M604" s="502"/>
    </row>
    <row r="605" spans="1:13" x14ac:dyDescent="0.25">
      <c r="A605" s="500"/>
      <c r="B605" s="549">
        <v>42517</v>
      </c>
      <c r="C605" s="500">
        <v>500</v>
      </c>
      <c r="D605" s="501">
        <v>12.79</v>
      </c>
      <c r="E605" s="502">
        <v>0</v>
      </c>
      <c r="F605" s="502">
        <f t="shared" si="171"/>
        <v>6395</v>
      </c>
      <c r="G605" s="500"/>
      <c r="H605" s="517"/>
      <c r="I605" s="501"/>
      <c r="J605" s="502"/>
      <c r="K605" s="502"/>
      <c r="L605" s="500"/>
      <c r="M605" s="502"/>
    </row>
    <row r="606" spans="1:13" x14ac:dyDescent="0.25">
      <c r="A606" s="500"/>
      <c r="B606" s="549">
        <v>42524</v>
      </c>
      <c r="C606" s="500">
        <v>400</v>
      </c>
      <c r="D606" s="501">
        <v>13.28</v>
      </c>
      <c r="E606" s="502">
        <v>0</v>
      </c>
      <c r="F606" s="502">
        <f t="shared" si="171"/>
        <v>5312</v>
      </c>
      <c r="G606" s="500"/>
      <c r="H606" s="517"/>
      <c r="I606" s="501"/>
      <c r="J606" s="502"/>
      <c r="K606" s="502"/>
      <c r="L606" s="500"/>
      <c r="M606" s="502"/>
    </row>
    <row r="607" spans="1:13" x14ac:dyDescent="0.25">
      <c r="A607" s="500"/>
      <c r="B607" s="549">
        <v>42529</v>
      </c>
      <c r="C607" s="500">
        <v>500</v>
      </c>
      <c r="D607" s="501">
        <v>14.59</v>
      </c>
      <c r="E607" s="502">
        <v>0</v>
      </c>
      <c r="F607" s="502">
        <f t="shared" si="171"/>
        <v>7295</v>
      </c>
      <c r="G607" s="500"/>
      <c r="H607" s="517"/>
      <c r="I607" s="501"/>
      <c r="J607" s="502"/>
      <c r="K607" s="502"/>
      <c r="L607" s="500"/>
      <c r="M607" s="502"/>
    </row>
    <row r="608" spans="1:13" x14ac:dyDescent="0.25">
      <c r="A608" s="500"/>
      <c r="B608" s="549">
        <v>42531</v>
      </c>
      <c r="C608" s="500">
        <v>800</v>
      </c>
      <c r="D608" s="501">
        <v>13.79</v>
      </c>
      <c r="E608" s="502">
        <v>0</v>
      </c>
      <c r="F608" s="502">
        <f t="shared" si="171"/>
        <v>11032</v>
      </c>
      <c r="G608" s="500"/>
      <c r="H608" s="517"/>
      <c r="I608" s="501"/>
      <c r="J608" s="502"/>
      <c r="K608" s="502"/>
      <c r="L608" s="500"/>
      <c r="M608" s="502"/>
    </row>
    <row r="609" spans="1:13" x14ac:dyDescent="0.25">
      <c r="A609" s="500"/>
      <c r="B609" s="549">
        <v>42531</v>
      </c>
      <c r="C609" s="500">
        <v>300</v>
      </c>
      <c r="D609" s="501">
        <v>13.4</v>
      </c>
      <c r="E609" s="502">
        <v>0</v>
      </c>
      <c r="F609" s="502">
        <f t="shared" si="171"/>
        <v>4020</v>
      </c>
      <c r="G609" s="500"/>
      <c r="H609" s="517"/>
      <c r="I609" s="501"/>
      <c r="J609" s="502"/>
      <c r="K609" s="502"/>
      <c r="L609" s="500"/>
      <c r="M609" s="502"/>
    </row>
    <row r="610" spans="1:13" x14ac:dyDescent="0.25">
      <c r="A610" s="500"/>
      <c r="B610" s="549">
        <v>42535</v>
      </c>
      <c r="C610" s="500">
        <v>400</v>
      </c>
      <c r="D610" s="501">
        <v>12.85</v>
      </c>
      <c r="E610" s="502">
        <v>0</v>
      </c>
      <c r="F610" s="502">
        <f t="shared" si="171"/>
        <v>5140</v>
      </c>
      <c r="G610" s="500"/>
      <c r="H610" s="517"/>
      <c r="I610" s="501"/>
      <c r="J610" s="502"/>
      <c r="K610" s="502"/>
      <c r="L610" s="500"/>
      <c r="M610" s="502"/>
    </row>
    <row r="611" spans="1:13" x14ac:dyDescent="0.25">
      <c r="A611" s="500"/>
      <c r="B611" s="549">
        <v>42537</v>
      </c>
      <c r="C611" s="500">
        <v>400</v>
      </c>
      <c r="D611" s="501">
        <v>12.43</v>
      </c>
      <c r="E611" s="502">
        <v>-0.04</v>
      </c>
      <c r="F611" s="502">
        <f t="shared" si="171"/>
        <v>4971.96</v>
      </c>
      <c r="G611" s="500"/>
      <c r="H611" s="517"/>
      <c r="I611" s="501"/>
      <c r="J611" s="502"/>
      <c r="K611" s="502"/>
      <c r="L611" s="500"/>
      <c r="M611" s="502"/>
    </row>
    <row r="612" spans="1:13" x14ac:dyDescent="0.25">
      <c r="A612" s="500"/>
      <c r="B612" s="549">
        <v>42538</v>
      </c>
      <c r="C612" s="500">
        <v>500</v>
      </c>
      <c r="D612" s="501">
        <v>13.14</v>
      </c>
      <c r="E612" s="502">
        <v>0</v>
      </c>
      <c r="F612" s="502">
        <f t="shared" si="171"/>
        <v>6570</v>
      </c>
      <c r="G612" s="500"/>
      <c r="H612" s="517"/>
      <c r="I612" s="501"/>
      <c r="J612" s="502"/>
      <c r="K612" s="502"/>
      <c r="L612" s="500"/>
      <c r="M612" s="502"/>
    </row>
    <row r="613" spans="1:13" x14ac:dyDescent="0.25">
      <c r="A613" s="500"/>
      <c r="B613" s="549">
        <v>42543</v>
      </c>
      <c r="C613" s="500">
        <v>500</v>
      </c>
      <c r="D613" s="501">
        <v>14.75</v>
      </c>
      <c r="E613" s="502">
        <v>0</v>
      </c>
      <c r="F613" s="502">
        <f t="shared" si="171"/>
        <v>7375</v>
      </c>
      <c r="G613" s="499">
        <v>42544</v>
      </c>
      <c r="H613" s="517">
        <v>500</v>
      </c>
      <c r="I613" s="501">
        <v>15.24</v>
      </c>
      <c r="J613" s="502">
        <v>0.17</v>
      </c>
      <c r="K613" s="502">
        <f>H613*I613-J613</f>
        <v>7619.83</v>
      </c>
      <c r="L613" s="500"/>
      <c r="M613" s="502"/>
    </row>
    <row r="614" spans="1:13" x14ac:dyDescent="0.25">
      <c r="A614" s="500"/>
      <c r="B614" s="549">
        <v>42545</v>
      </c>
      <c r="C614" s="500">
        <v>878</v>
      </c>
      <c r="D614" s="501">
        <v>14.41</v>
      </c>
      <c r="E614" s="502">
        <v>0</v>
      </c>
      <c r="F614" s="502">
        <f t="shared" si="171"/>
        <v>12651.98</v>
      </c>
      <c r="G614" s="500"/>
      <c r="H614" s="517"/>
      <c r="I614" s="501"/>
      <c r="J614" s="502"/>
      <c r="K614" s="502"/>
      <c r="L614" s="500"/>
      <c r="M614" s="502"/>
    </row>
    <row r="615" spans="1:13" x14ac:dyDescent="0.25">
      <c r="A615" s="500"/>
      <c r="B615" s="549">
        <v>42545</v>
      </c>
      <c r="C615" s="500">
        <v>335</v>
      </c>
      <c r="D615" s="501">
        <v>14.08</v>
      </c>
      <c r="E615" s="502">
        <v>0</v>
      </c>
      <c r="F615" s="502">
        <f t="shared" si="171"/>
        <v>4716.8</v>
      </c>
      <c r="G615" s="500"/>
      <c r="H615" s="517"/>
      <c r="I615" s="501"/>
      <c r="J615" s="502"/>
      <c r="K615" s="502"/>
      <c r="L615" s="500"/>
      <c r="M615" s="502"/>
    </row>
    <row r="616" spans="1:13" x14ac:dyDescent="0.25">
      <c r="A616" s="500"/>
      <c r="B616" s="549">
        <v>42548</v>
      </c>
      <c r="C616" s="500">
        <v>965</v>
      </c>
      <c r="D616" s="501">
        <v>13.81</v>
      </c>
      <c r="E616" s="502">
        <v>0</v>
      </c>
      <c r="F616" s="502">
        <f t="shared" si="171"/>
        <v>13326.65</v>
      </c>
      <c r="G616" s="500"/>
      <c r="H616" s="517"/>
      <c r="I616" s="501"/>
      <c r="J616" s="502"/>
      <c r="K616" s="502"/>
      <c r="L616" s="500"/>
      <c r="M616" s="502"/>
    </row>
    <row r="617" spans="1:13" x14ac:dyDescent="0.25">
      <c r="A617" s="500"/>
      <c r="B617" s="549">
        <v>42548</v>
      </c>
      <c r="C617" s="500">
        <v>300</v>
      </c>
      <c r="D617" s="501">
        <v>13.58</v>
      </c>
      <c r="E617" s="502">
        <v>0</v>
      </c>
      <c r="F617" s="502">
        <f t="shared" si="171"/>
        <v>4074</v>
      </c>
      <c r="G617" s="499">
        <v>42549</v>
      </c>
      <c r="H617" s="517">
        <v>1100</v>
      </c>
      <c r="I617" s="501">
        <v>14.68</v>
      </c>
      <c r="J617" s="502">
        <v>0.35</v>
      </c>
      <c r="K617" s="502">
        <f t="shared" ref="K617:K702" si="172">H617*I617-J617</f>
        <v>16147.65</v>
      </c>
      <c r="L617" s="500"/>
      <c r="M617" s="502"/>
    </row>
    <row r="618" spans="1:13" ht="45" x14ac:dyDescent="0.25">
      <c r="A618" s="500"/>
      <c r="B618" s="549">
        <v>42556</v>
      </c>
      <c r="C618" s="500">
        <v>2178</v>
      </c>
      <c r="D618" s="501">
        <v>15.08</v>
      </c>
      <c r="E618" s="502">
        <v>0</v>
      </c>
      <c r="F618" s="502">
        <f t="shared" si="171"/>
        <v>32844.239999999998</v>
      </c>
      <c r="G618" s="615" t="s">
        <v>229</v>
      </c>
      <c r="H618" s="517">
        <v>500</v>
      </c>
      <c r="I618" s="501">
        <v>15.48</v>
      </c>
      <c r="J618" s="502">
        <v>0.17</v>
      </c>
      <c r="K618" s="502">
        <f t="shared" si="172"/>
        <v>7739.83</v>
      </c>
      <c r="L618" s="500"/>
      <c r="M618" s="502"/>
    </row>
    <row r="619" spans="1:13" x14ac:dyDescent="0.25">
      <c r="A619" s="500"/>
      <c r="B619" s="549">
        <v>42556</v>
      </c>
      <c r="C619" s="500">
        <v>500</v>
      </c>
      <c r="D619" s="501">
        <v>14.62</v>
      </c>
      <c r="E619" s="502">
        <v>0</v>
      </c>
      <c r="F619" s="502">
        <f t="shared" si="171"/>
        <v>7310</v>
      </c>
      <c r="G619" s="615"/>
      <c r="H619" s="517">
        <v>378</v>
      </c>
      <c r="I619" s="501">
        <v>15.65</v>
      </c>
      <c r="J619" s="502">
        <v>0.13</v>
      </c>
      <c r="K619" s="502">
        <f t="shared" si="172"/>
        <v>5915.57</v>
      </c>
      <c r="L619" s="500"/>
      <c r="M619" s="502"/>
    </row>
    <row r="620" spans="1:13" x14ac:dyDescent="0.25">
      <c r="A620" s="500"/>
      <c r="B620" s="549">
        <v>42557</v>
      </c>
      <c r="C620" s="500">
        <v>500</v>
      </c>
      <c r="D620" s="501">
        <v>14.78</v>
      </c>
      <c r="E620" s="502">
        <v>0</v>
      </c>
      <c r="F620" s="502">
        <f t="shared" si="171"/>
        <v>7390</v>
      </c>
      <c r="G620" s="615"/>
      <c r="H620" s="517">
        <v>500</v>
      </c>
      <c r="I620" s="501">
        <v>15.51</v>
      </c>
      <c r="J620" s="502">
        <v>0.17</v>
      </c>
      <c r="K620" s="502">
        <f t="shared" si="172"/>
        <v>7754.83</v>
      </c>
      <c r="L620" s="500"/>
      <c r="M620" s="502"/>
    </row>
    <row r="621" spans="1:13" x14ac:dyDescent="0.25">
      <c r="A621" s="500"/>
      <c r="B621" s="601">
        <v>42564</v>
      </c>
      <c r="C621" s="500">
        <v>320</v>
      </c>
      <c r="D621" s="501">
        <v>15.48</v>
      </c>
      <c r="E621" s="502">
        <v>0</v>
      </c>
      <c r="F621" s="502">
        <f t="shared" si="171"/>
        <v>4953.6000000000004</v>
      </c>
      <c r="G621" s="615"/>
      <c r="H621" s="517">
        <v>800</v>
      </c>
      <c r="I621" s="501">
        <v>15.78</v>
      </c>
      <c r="J621" s="502">
        <v>0.28000000000000003</v>
      </c>
      <c r="K621" s="502">
        <f t="shared" si="172"/>
        <v>12623.72</v>
      </c>
      <c r="L621" s="500"/>
      <c r="M621" s="502"/>
    </row>
    <row r="622" spans="1:13" x14ac:dyDescent="0.25">
      <c r="A622" s="602"/>
      <c r="B622" s="601">
        <v>42564</v>
      </c>
      <c r="C622" s="500">
        <v>160</v>
      </c>
      <c r="D622" s="501">
        <v>15.48</v>
      </c>
      <c r="E622" s="502">
        <v>0</v>
      </c>
      <c r="F622" s="502">
        <f t="shared" si="171"/>
        <v>2476.8000000000002</v>
      </c>
      <c r="G622" s="499">
        <v>42557</v>
      </c>
      <c r="H622" s="517">
        <v>500</v>
      </c>
      <c r="I622" s="501">
        <v>14.92</v>
      </c>
      <c r="J622" s="502">
        <v>0.16</v>
      </c>
      <c r="K622" s="502">
        <f t="shared" si="172"/>
        <v>7459.84</v>
      </c>
      <c r="L622" s="500"/>
      <c r="M622" s="502"/>
    </row>
    <row r="623" spans="1:13" x14ac:dyDescent="0.25">
      <c r="A623" s="602"/>
      <c r="B623" s="549">
        <v>42570</v>
      </c>
      <c r="C623" s="500">
        <v>200</v>
      </c>
      <c r="D623" s="501">
        <v>15.18</v>
      </c>
      <c r="E623" s="502">
        <v>0</v>
      </c>
      <c r="F623" s="502">
        <f t="shared" si="171"/>
        <v>3036</v>
      </c>
      <c r="G623" s="499">
        <v>42564</v>
      </c>
      <c r="H623" s="517">
        <v>420</v>
      </c>
      <c r="I623" s="501">
        <v>15.68</v>
      </c>
      <c r="J623" s="502">
        <v>0.14000000000000001</v>
      </c>
      <c r="K623" s="502">
        <f t="shared" si="172"/>
        <v>6585.4599999999991</v>
      </c>
      <c r="L623" s="500"/>
      <c r="M623" s="502"/>
    </row>
    <row r="624" spans="1:13" x14ac:dyDescent="0.25">
      <c r="A624" s="602"/>
      <c r="B624" s="549">
        <v>42570</v>
      </c>
      <c r="C624" s="500">
        <v>200</v>
      </c>
      <c r="D624" s="501">
        <v>14.68</v>
      </c>
      <c r="E624" s="502">
        <v>0</v>
      </c>
      <c r="F624" s="502">
        <f t="shared" si="171"/>
        <v>2936</v>
      </c>
      <c r="G624" s="499">
        <v>42571</v>
      </c>
      <c r="H624" s="517">
        <v>200</v>
      </c>
      <c r="I624" s="501">
        <v>14.82</v>
      </c>
      <c r="J624" s="502">
        <v>0.06</v>
      </c>
      <c r="K624" s="502">
        <f t="shared" si="172"/>
        <v>2963.94</v>
      </c>
      <c r="L624" s="500"/>
      <c r="M624" s="502"/>
    </row>
    <row r="625" spans="1:13" x14ac:dyDescent="0.25">
      <c r="A625" s="500"/>
      <c r="B625" s="549">
        <v>42571</v>
      </c>
      <c r="C625" s="500">
        <v>200</v>
      </c>
      <c r="D625" s="501">
        <v>14.33</v>
      </c>
      <c r="E625" s="502">
        <v>-1</v>
      </c>
      <c r="F625" s="502">
        <f t="shared" si="171"/>
        <v>2865</v>
      </c>
      <c r="G625" s="499">
        <v>42572</v>
      </c>
      <c r="H625" s="517">
        <v>200</v>
      </c>
      <c r="I625" s="501">
        <v>14.8</v>
      </c>
      <c r="J625" s="502">
        <v>0.06</v>
      </c>
      <c r="K625" s="502">
        <f t="shared" si="172"/>
        <v>2959.94</v>
      </c>
      <c r="L625" s="500"/>
      <c r="M625" s="502"/>
    </row>
    <row r="626" spans="1:13" x14ac:dyDescent="0.25">
      <c r="A626" s="500"/>
      <c r="B626" s="549">
        <v>42572</v>
      </c>
      <c r="C626" s="500">
        <v>60</v>
      </c>
      <c r="D626" s="501">
        <v>14.58</v>
      </c>
      <c r="E626" s="502">
        <v>0</v>
      </c>
      <c r="F626" s="502">
        <f t="shared" si="171"/>
        <v>874.8</v>
      </c>
      <c r="G626" s="499">
        <v>42577</v>
      </c>
      <c r="H626" s="517">
        <v>200</v>
      </c>
      <c r="I626" s="501">
        <v>13.78</v>
      </c>
      <c r="J626" s="502">
        <v>0.06</v>
      </c>
      <c r="K626" s="502">
        <f t="shared" si="172"/>
        <v>2755.94</v>
      </c>
      <c r="L626" s="500"/>
      <c r="M626" s="502"/>
    </row>
    <row r="627" spans="1:13" x14ac:dyDescent="0.25">
      <c r="A627" s="500"/>
      <c r="B627" s="549">
        <v>42572</v>
      </c>
      <c r="C627" s="500">
        <v>140</v>
      </c>
      <c r="D627" s="501">
        <v>14.65</v>
      </c>
      <c r="E627" s="502">
        <v>0</v>
      </c>
      <c r="F627" s="502">
        <f t="shared" si="171"/>
        <v>2051</v>
      </c>
      <c r="G627" s="499">
        <v>42580</v>
      </c>
      <c r="H627" s="517">
        <v>200</v>
      </c>
      <c r="I627" s="501">
        <v>13.224</v>
      </c>
      <c r="J627" s="502">
        <v>0.08</v>
      </c>
      <c r="K627" s="502">
        <f t="shared" si="172"/>
        <v>2644.7200000000003</v>
      </c>
      <c r="L627" s="500"/>
      <c r="M627" s="502"/>
    </row>
    <row r="628" spans="1:13" x14ac:dyDescent="0.25">
      <c r="A628" s="500"/>
      <c r="B628" s="549">
        <v>42573</v>
      </c>
      <c r="C628" s="500">
        <v>140</v>
      </c>
      <c r="D628" s="501">
        <v>14.08</v>
      </c>
      <c r="E628" s="502">
        <v>0</v>
      </c>
      <c r="F628" s="502">
        <f t="shared" si="171"/>
        <v>1971.2</v>
      </c>
      <c r="G628" s="499">
        <v>42580</v>
      </c>
      <c r="H628" s="517">
        <v>200</v>
      </c>
      <c r="I628" s="501">
        <v>13.58</v>
      </c>
      <c r="J628" s="502">
        <v>0.06</v>
      </c>
      <c r="K628" s="502">
        <f t="shared" si="172"/>
        <v>2715.94</v>
      </c>
      <c r="L628" s="500"/>
      <c r="M628" s="502"/>
    </row>
    <row r="629" spans="1:13" x14ac:dyDescent="0.25">
      <c r="A629" s="500"/>
      <c r="B629" s="549">
        <v>42576</v>
      </c>
      <c r="C629" s="500">
        <v>200</v>
      </c>
      <c r="D629" s="501">
        <v>13.55</v>
      </c>
      <c r="E629" s="502">
        <v>0</v>
      </c>
      <c r="F629" s="502">
        <f t="shared" si="171"/>
        <v>2710</v>
      </c>
      <c r="G629" s="499">
        <v>42586</v>
      </c>
      <c r="H629" s="517">
        <v>400</v>
      </c>
      <c r="I629" s="501">
        <v>13.78</v>
      </c>
      <c r="J629" s="502">
        <v>0.12</v>
      </c>
      <c r="K629" s="502">
        <f t="shared" si="172"/>
        <v>5511.88</v>
      </c>
      <c r="L629" s="500"/>
      <c r="M629" s="502"/>
    </row>
    <row r="630" spans="1:13" x14ac:dyDescent="0.25">
      <c r="A630" s="500"/>
      <c r="B630" s="549">
        <v>42578</v>
      </c>
      <c r="C630" s="500">
        <v>200</v>
      </c>
      <c r="D630" s="501">
        <v>13.18</v>
      </c>
      <c r="E630" s="502">
        <v>0</v>
      </c>
      <c r="F630" s="502">
        <f t="shared" si="171"/>
        <v>2636</v>
      </c>
      <c r="G630" s="499">
        <v>42586</v>
      </c>
      <c r="H630" s="517">
        <v>400</v>
      </c>
      <c r="I630" s="501">
        <v>13.72</v>
      </c>
      <c r="J630" s="502">
        <v>0.12</v>
      </c>
      <c r="K630" s="502">
        <f t="shared" si="172"/>
        <v>5487.88</v>
      </c>
      <c r="L630" s="500"/>
      <c r="M630" s="502"/>
    </row>
    <row r="631" spans="1:13" x14ac:dyDescent="0.25">
      <c r="A631" s="500"/>
      <c r="B631" s="549">
        <v>42580</v>
      </c>
      <c r="C631" s="500">
        <v>200</v>
      </c>
      <c r="D631" s="501">
        <v>13.15</v>
      </c>
      <c r="E631" s="502">
        <v>0</v>
      </c>
      <c r="F631" s="502">
        <f t="shared" si="171"/>
        <v>2630</v>
      </c>
      <c r="G631" s="499">
        <v>42586</v>
      </c>
      <c r="H631" s="517">
        <v>140</v>
      </c>
      <c r="I631" s="501">
        <v>13.88</v>
      </c>
      <c r="J631" s="502">
        <v>0.04</v>
      </c>
      <c r="K631" s="502">
        <f t="shared" si="172"/>
        <v>1943.16</v>
      </c>
      <c r="L631" s="500"/>
      <c r="M631" s="502"/>
    </row>
    <row r="632" spans="1:13" x14ac:dyDescent="0.25">
      <c r="A632" s="500"/>
      <c r="B632" s="549">
        <v>42583</v>
      </c>
      <c r="C632" s="598">
        <v>20</v>
      </c>
      <c r="D632" s="501">
        <v>13.02</v>
      </c>
      <c r="E632" s="502">
        <v>0</v>
      </c>
      <c r="F632" s="502">
        <f t="shared" si="171"/>
        <v>260.39999999999998</v>
      </c>
      <c r="G632" s="499">
        <v>42593</v>
      </c>
      <c r="H632" s="517">
        <v>460</v>
      </c>
      <c r="I632" s="501">
        <v>14.59</v>
      </c>
      <c r="J632" s="502">
        <v>0.15</v>
      </c>
      <c r="K632" s="502">
        <f t="shared" si="172"/>
        <v>6711.25</v>
      </c>
      <c r="L632" s="500"/>
      <c r="M632" s="502"/>
    </row>
    <row r="633" spans="1:13" x14ac:dyDescent="0.25">
      <c r="A633" s="500"/>
      <c r="B633" s="549">
        <v>42583</v>
      </c>
      <c r="C633" s="500">
        <v>180</v>
      </c>
      <c r="D633" s="501">
        <v>13.02</v>
      </c>
      <c r="E633" s="502">
        <v>0</v>
      </c>
      <c r="F633" s="502">
        <f t="shared" si="171"/>
        <v>2343.6</v>
      </c>
      <c r="G633" s="499">
        <v>42594</v>
      </c>
      <c r="H633" s="517">
        <v>500</v>
      </c>
      <c r="I633" s="501">
        <v>14.88</v>
      </c>
      <c r="J633" s="502">
        <v>0.16</v>
      </c>
      <c r="K633" s="502">
        <f t="shared" si="172"/>
        <v>7439.84</v>
      </c>
      <c r="L633" s="500"/>
      <c r="M633" s="502"/>
    </row>
    <row r="634" spans="1:13" x14ac:dyDescent="0.25">
      <c r="A634" s="500"/>
      <c r="B634" s="549">
        <v>42584</v>
      </c>
      <c r="C634" s="500">
        <v>120</v>
      </c>
      <c r="D634" s="501">
        <v>12.68</v>
      </c>
      <c r="E634" s="502">
        <v>0</v>
      </c>
      <c r="F634" s="502">
        <f t="shared" si="171"/>
        <v>1521.6</v>
      </c>
      <c r="G634" s="499">
        <v>42598</v>
      </c>
      <c r="H634" s="517">
        <v>500</v>
      </c>
      <c r="I634" s="501">
        <v>15.18</v>
      </c>
      <c r="J634" s="502">
        <v>0.17</v>
      </c>
      <c r="K634" s="502">
        <f t="shared" si="172"/>
        <v>7589.83</v>
      </c>
      <c r="L634" s="500"/>
      <c r="M634" s="502"/>
    </row>
    <row r="635" spans="1:13" x14ac:dyDescent="0.25">
      <c r="A635" s="500"/>
      <c r="B635" s="549">
        <v>42584</v>
      </c>
      <c r="C635" s="500">
        <v>80</v>
      </c>
      <c r="D635" s="501">
        <v>12.68</v>
      </c>
      <c r="E635" s="502">
        <v>0</v>
      </c>
      <c r="F635" s="502">
        <f t="shared" si="171"/>
        <v>1014.4</v>
      </c>
      <c r="G635" s="499">
        <v>42599</v>
      </c>
      <c r="H635" s="517">
        <v>500</v>
      </c>
      <c r="I635" s="501">
        <v>15.18</v>
      </c>
      <c r="J635" s="502">
        <v>0.17</v>
      </c>
      <c r="K635" s="502">
        <f t="shared" si="172"/>
        <v>7589.83</v>
      </c>
      <c r="L635" s="500"/>
      <c r="M635" s="502"/>
    </row>
    <row r="636" spans="1:13" x14ac:dyDescent="0.25">
      <c r="A636" s="500"/>
      <c r="B636" s="549">
        <v>42585</v>
      </c>
      <c r="C636" s="500">
        <v>242</v>
      </c>
      <c r="D636" s="501">
        <v>13.38</v>
      </c>
      <c r="E636" s="502">
        <v>0</v>
      </c>
      <c r="F636" s="502">
        <f t="shared" si="171"/>
        <v>3237.96</v>
      </c>
      <c r="G636" s="499">
        <v>42599</v>
      </c>
      <c r="H636" s="517">
        <v>500</v>
      </c>
      <c r="I636" s="501">
        <v>15.41</v>
      </c>
      <c r="J636" s="502">
        <v>0.17</v>
      </c>
      <c r="K636" s="502">
        <f t="shared" si="172"/>
        <v>7704.83</v>
      </c>
      <c r="L636" s="500"/>
      <c r="M636" s="502"/>
    </row>
    <row r="637" spans="1:13" x14ac:dyDescent="0.25">
      <c r="A637" s="500"/>
      <c r="B637" s="549">
        <v>42585</v>
      </c>
      <c r="C637" s="500">
        <v>158</v>
      </c>
      <c r="D637" s="501">
        <v>13.38</v>
      </c>
      <c r="E637" s="502">
        <v>0</v>
      </c>
      <c r="F637" s="502">
        <f t="shared" si="171"/>
        <v>2114.04</v>
      </c>
      <c r="G637" s="499">
        <v>42599</v>
      </c>
      <c r="H637" s="517">
        <v>500</v>
      </c>
      <c r="I637" s="501">
        <v>15.65</v>
      </c>
      <c r="J637" s="502">
        <v>0.17</v>
      </c>
      <c r="K637" s="502">
        <f t="shared" si="172"/>
        <v>7824.83</v>
      </c>
      <c r="L637" s="500"/>
      <c r="M637" s="502"/>
    </row>
    <row r="638" spans="1:13" ht="45" x14ac:dyDescent="0.25">
      <c r="A638" s="500"/>
      <c r="B638" s="549">
        <v>42594</v>
      </c>
      <c r="C638" s="500">
        <v>500</v>
      </c>
      <c r="D638" s="501">
        <v>14.65</v>
      </c>
      <c r="E638" s="502">
        <v>0</v>
      </c>
      <c r="F638" s="502">
        <f t="shared" si="171"/>
        <v>7325</v>
      </c>
      <c r="G638" s="620" t="s">
        <v>257</v>
      </c>
      <c r="H638" s="517">
        <v>500</v>
      </c>
      <c r="I638" s="501">
        <v>16.18</v>
      </c>
      <c r="J638" s="502">
        <v>0.18</v>
      </c>
      <c r="K638" s="502">
        <f t="shared" si="172"/>
        <v>8089.82</v>
      </c>
      <c r="L638" s="500"/>
      <c r="M638" s="502"/>
    </row>
    <row r="639" spans="1:13" x14ac:dyDescent="0.25">
      <c r="A639" s="500"/>
      <c r="B639" s="549">
        <v>42599</v>
      </c>
      <c r="C639" s="500">
        <v>242</v>
      </c>
      <c r="D639" s="501">
        <v>14.95</v>
      </c>
      <c r="E639" s="502">
        <v>0</v>
      </c>
      <c r="F639" s="502">
        <f t="shared" si="171"/>
        <v>3617.8999999999996</v>
      </c>
      <c r="G639" s="620"/>
      <c r="H639" s="517">
        <v>500</v>
      </c>
      <c r="I639" s="501">
        <v>16.38</v>
      </c>
      <c r="J639" s="502">
        <v>0.18</v>
      </c>
      <c r="K639" s="502">
        <f t="shared" si="172"/>
        <v>8189.8199999999988</v>
      </c>
      <c r="L639" s="500"/>
      <c r="M639" s="502"/>
    </row>
    <row r="640" spans="1:13" x14ac:dyDescent="0.25">
      <c r="A640" s="500"/>
      <c r="B640" s="549">
        <v>42599</v>
      </c>
      <c r="C640" s="500">
        <v>200</v>
      </c>
      <c r="D640" s="501">
        <v>14.95</v>
      </c>
      <c r="E640" s="502">
        <v>0</v>
      </c>
      <c r="F640" s="502">
        <f t="shared" si="171"/>
        <v>2990</v>
      </c>
      <c r="G640" s="620"/>
      <c r="H640" s="517">
        <v>178</v>
      </c>
      <c r="I640" s="501">
        <v>16.5</v>
      </c>
      <c r="J640" s="502">
        <v>0.06</v>
      </c>
      <c r="K640" s="502">
        <f t="shared" si="172"/>
        <v>2936.94</v>
      </c>
      <c r="L640" s="500"/>
      <c r="M640" s="502"/>
    </row>
    <row r="641" spans="1:13" x14ac:dyDescent="0.25">
      <c r="A641" s="500"/>
      <c r="B641" s="549">
        <v>42599</v>
      </c>
      <c r="C641" s="500">
        <v>36</v>
      </c>
      <c r="D641" s="501">
        <v>14.95</v>
      </c>
      <c r="E641" s="502">
        <v>0</v>
      </c>
      <c r="F641" s="502">
        <f t="shared" si="171"/>
        <v>538.19999999999993</v>
      </c>
      <c r="G641" s="620"/>
      <c r="H641" s="517">
        <v>500</v>
      </c>
      <c r="I641" s="501">
        <v>16.72</v>
      </c>
      <c r="J641" s="502">
        <v>0.18</v>
      </c>
      <c r="K641" s="502">
        <f t="shared" si="172"/>
        <v>8359.82</v>
      </c>
      <c r="L641" s="500"/>
      <c r="M641" s="502"/>
    </row>
    <row r="642" spans="1:13" x14ac:dyDescent="0.25">
      <c r="A642" s="500"/>
      <c r="B642" s="549">
        <v>42599</v>
      </c>
      <c r="C642" s="500">
        <v>22</v>
      </c>
      <c r="D642" s="501">
        <v>14.95</v>
      </c>
      <c r="E642" s="502">
        <v>0</v>
      </c>
      <c r="F642" s="502">
        <f t="shared" si="171"/>
        <v>328.9</v>
      </c>
      <c r="G642" s="499">
        <v>42601</v>
      </c>
      <c r="H642" s="517">
        <v>500</v>
      </c>
      <c r="I642" s="501">
        <v>16.82</v>
      </c>
      <c r="J642" s="502">
        <v>0.18</v>
      </c>
      <c r="K642" s="502">
        <f t="shared" si="172"/>
        <v>8409.82</v>
      </c>
      <c r="L642" s="500"/>
      <c r="M642" s="502"/>
    </row>
    <row r="643" spans="1:13" x14ac:dyDescent="0.25">
      <c r="A643" s="500"/>
      <c r="B643" s="549">
        <v>42604</v>
      </c>
      <c r="C643" s="500">
        <v>1000</v>
      </c>
      <c r="D643" s="501">
        <v>15.68</v>
      </c>
      <c r="E643" s="502">
        <v>0</v>
      </c>
      <c r="F643" s="502">
        <f t="shared" si="171"/>
        <v>15680</v>
      </c>
      <c r="G643" s="499">
        <v>42605</v>
      </c>
      <c r="H643" s="517">
        <v>500</v>
      </c>
      <c r="I643" s="501">
        <v>15.98</v>
      </c>
      <c r="J643" s="502">
        <v>0.17</v>
      </c>
      <c r="K643" s="502">
        <f t="shared" si="172"/>
        <v>7989.83</v>
      </c>
      <c r="L643" s="500"/>
      <c r="M643" s="502"/>
    </row>
    <row r="644" spans="1:13" x14ac:dyDescent="0.25">
      <c r="A644" s="500"/>
      <c r="B644" s="549">
        <v>42604</v>
      </c>
      <c r="C644" s="500">
        <v>500</v>
      </c>
      <c r="D644" s="501">
        <v>15.48</v>
      </c>
      <c r="E644" s="502">
        <v>0</v>
      </c>
      <c r="F644" s="502">
        <f t="shared" si="171"/>
        <v>7740</v>
      </c>
      <c r="G644" s="499">
        <v>42605</v>
      </c>
      <c r="H644" s="517">
        <v>500</v>
      </c>
      <c r="I644" s="501">
        <v>16.25</v>
      </c>
      <c r="J644" s="502">
        <v>0.18</v>
      </c>
      <c r="K644" s="502">
        <f t="shared" si="172"/>
        <v>8124.82</v>
      </c>
      <c r="L644" s="500"/>
      <c r="M644" s="502"/>
    </row>
    <row r="645" spans="1:13" x14ac:dyDescent="0.25">
      <c r="A645" s="500"/>
      <c r="B645" s="549">
        <v>42606</v>
      </c>
      <c r="C645" s="500">
        <v>178</v>
      </c>
      <c r="D645" s="501">
        <v>16.059999999999999</v>
      </c>
      <c r="E645" s="502">
        <v>0</v>
      </c>
      <c r="F645" s="502">
        <f t="shared" si="171"/>
        <v>2858.68</v>
      </c>
      <c r="G645" s="499">
        <v>42605</v>
      </c>
      <c r="H645" s="517">
        <v>500</v>
      </c>
      <c r="I645" s="501">
        <v>16.48</v>
      </c>
      <c r="J645" s="502">
        <v>0.18</v>
      </c>
      <c r="K645" s="502">
        <f t="shared" si="172"/>
        <v>8239.82</v>
      </c>
      <c r="L645" s="500"/>
      <c r="M645" s="502"/>
    </row>
    <row r="646" spans="1:13" x14ac:dyDescent="0.25">
      <c r="A646" s="500"/>
      <c r="B646" s="549">
        <v>42608</v>
      </c>
      <c r="C646" s="500">
        <v>500</v>
      </c>
      <c r="D646" s="501">
        <v>15.98</v>
      </c>
      <c r="E646" s="502">
        <v>0</v>
      </c>
      <c r="F646" s="502">
        <f t="shared" si="171"/>
        <v>7990</v>
      </c>
      <c r="G646" s="499">
        <v>42615</v>
      </c>
      <c r="H646" s="517">
        <v>500</v>
      </c>
      <c r="I646" s="501">
        <v>15.65</v>
      </c>
      <c r="J646" s="502">
        <v>0.17</v>
      </c>
      <c r="K646" s="502">
        <f t="shared" si="172"/>
        <v>7824.83</v>
      </c>
      <c r="L646" s="500"/>
      <c r="M646" s="502"/>
    </row>
    <row r="647" spans="1:13" ht="30" x14ac:dyDescent="0.25">
      <c r="A647" s="500"/>
      <c r="B647" s="549">
        <v>42608</v>
      </c>
      <c r="C647" s="500">
        <v>500</v>
      </c>
      <c r="D647" s="501">
        <v>15.85</v>
      </c>
      <c r="E647" s="502">
        <v>0</v>
      </c>
      <c r="F647" s="502">
        <f t="shared" si="171"/>
        <v>7925</v>
      </c>
      <c r="G647" s="499">
        <v>42621</v>
      </c>
      <c r="H647" s="517">
        <v>500</v>
      </c>
      <c r="I647" s="501">
        <v>16.72</v>
      </c>
      <c r="J647" s="502">
        <v>0.18</v>
      </c>
      <c r="K647" s="502">
        <f t="shared" si="172"/>
        <v>8359.82</v>
      </c>
      <c r="L647" s="621" t="s">
        <v>270</v>
      </c>
      <c r="M647" s="502"/>
    </row>
    <row r="648" spans="1:13" x14ac:dyDescent="0.25">
      <c r="A648" s="500"/>
      <c r="B648" s="549">
        <v>42612</v>
      </c>
      <c r="C648" s="500">
        <v>500</v>
      </c>
      <c r="D648" s="501">
        <v>15.68</v>
      </c>
      <c r="E648" s="502">
        <v>0</v>
      </c>
      <c r="F648" s="502">
        <f t="shared" si="171"/>
        <v>7840</v>
      </c>
      <c r="G648" s="499">
        <v>42621</v>
      </c>
      <c r="H648" s="517">
        <v>500</v>
      </c>
      <c r="I648" s="501">
        <v>16.28</v>
      </c>
      <c r="J648" s="502">
        <v>0.18</v>
      </c>
      <c r="K648" s="502">
        <f t="shared" si="172"/>
        <v>8139.8200000000006</v>
      </c>
      <c r="L648" s="621"/>
      <c r="M648" s="502"/>
    </row>
    <row r="649" spans="1:13" x14ac:dyDescent="0.25">
      <c r="A649" s="500"/>
      <c r="B649" s="549">
        <v>42612</v>
      </c>
      <c r="C649" s="500">
        <v>500</v>
      </c>
      <c r="D649" s="501">
        <v>15.55</v>
      </c>
      <c r="E649" s="502">
        <v>0</v>
      </c>
      <c r="F649" s="502">
        <f t="shared" si="171"/>
        <v>7775</v>
      </c>
      <c r="G649" s="499">
        <v>42621</v>
      </c>
      <c r="H649" s="517">
        <v>220</v>
      </c>
      <c r="I649" s="501">
        <v>16.77</v>
      </c>
      <c r="J649" s="502">
        <v>0.08</v>
      </c>
      <c r="K649" s="502">
        <f t="shared" si="172"/>
        <v>3689.32</v>
      </c>
      <c r="L649" s="621"/>
      <c r="M649" s="502"/>
    </row>
    <row r="650" spans="1:13" x14ac:dyDescent="0.25">
      <c r="A650" s="500"/>
      <c r="B650" s="549">
        <v>42613</v>
      </c>
      <c r="C650" s="500">
        <v>500</v>
      </c>
      <c r="D650" s="501">
        <v>15.244999999999999</v>
      </c>
      <c r="E650" s="502">
        <v>0</v>
      </c>
      <c r="F650" s="502">
        <f t="shared" si="171"/>
        <v>7622.5</v>
      </c>
      <c r="G650" s="499">
        <v>42625</v>
      </c>
      <c r="H650" s="517">
        <v>500</v>
      </c>
      <c r="I650" s="501">
        <v>15.5</v>
      </c>
      <c r="J650" s="502">
        <v>0.17</v>
      </c>
      <c r="K650" s="502">
        <f t="shared" si="172"/>
        <v>7749.83</v>
      </c>
      <c r="L650" s="500"/>
      <c r="M650" s="502"/>
    </row>
    <row r="651" spans="1:13" x14ac:dyDescent="0.25">
      <c r="A651" s="500"/>
      <c r="B651" s="549">
        <v>42613</v>
      </c>
      <c r="C651" s="500">
        <v>500</v>
      </c>
      <c r="D651" s="501">
        <v>15.08</v>
      </c>
      <c r="E651" s="502">
        <v>0</v>
      </c>
      <c r="F651" s="502">
        <f t="shared" si="171"/>
        <v>7540</v>
      </c>
      <c r="G651" s="499">
        <v>42628</v>
      </c>
      <c r="H651" s="517">
        <v>300</v>
      </c>
      <c r="I651" s="501">
        <v>14.46</v>
      </c>
      <c r="J651" s="502">
        <v>0.09</v>
      </c>
      <c r="K651" s="502">
        <f t="shared" si="172"/>
        <v>4337.91</v>
      </c>
      <c r="L651" s="500"/>
      <c r="M651" s="502"/>
    </row>
    <row r="652" spans="1:13" x14ac:dyDescent="0.25">
      <c r="A652" s="500"/>
      <c r="B652" s="549">
        <v>42622</v>
      </c>
      <c r="C652" s="500">
        <v>220</v>
      </c>
      <c r="D652" s="501">
        <v>16.25</v>
      </c>
      <c r="E652" s="502">
        <v>0</v>
      </c>
      <c r="F652" s="502">
        <f t="shared" si="171"/>
        <v>3575</v>
      </c>
      <c r="G652" s="499">
        <v>42634</v>
      </c>
      <c r="H652" s="517">
        <v>322</v>
      </c>
      <c r="I652" s="501">
        <v>14.28</v>
      </c>
      <c r="J652" s="502">
        <v>0.1</v>
      </c>
      <c r="K652" s="502">
        <f t="shared" si="172"/>
        <v>4598.0599999999995</v>
      </c>
      <c r="L652" s="500"/>
      <c r="M652" s="502"/>
    </row>
    <row r="653" spans="1:13" x14ac:dyDescent="0.25">
      <c r="A653" s="500"/>
      <c r="B653" s="549">
        <v>42622</v>
      </c>
      <c r="C653" s="500">
        <v>500</v>
      </c>
      <c r="D653" s="501">
        <v>15.98</v>
      </c>
      <c r="E653" s="502">
        <v>0</v>
      </c>
      <c r="F653" s="502">
        <f t="shared" si="171"/>
        <v>7990</v>
      </c>
      <c r="G653" s="499">
        <v>42634</v>
      </c>
      <c r="H653" s="517">
        <v>400</v>
      </c>
      <c r="I653" s="501">
        <v>14.64</v>
      </c>
      <c r="J653" s="502">
        <v>0.13</v>
      </c>
      <c r="K653" s="502">
        <f t="shared" si="172"/>
        <v>5855.87</v>
      </c>
      <c r="L653" s="500"/>
      <c r="M653" s="502"/>
    </row>
    <row r="654" spans="1:13" x14ac:dyDescent="0.25">
      <c r="A654" s="500"/>
      <c r="B654" s="549">
        <v>42622</v>
      </c>
      <c r="C654" s="500">
        <v>500</v>
      </c>
      <c r="D654" s="501">
        <v>15.75</v>
      </c>
      <c r="E654" s="502">
        <v>0</v>
      </c>
      <c r="F654" s="502">
        <f t="shared" si="171"/>
        <v>7875</v>
      </c>
      <c r="G654" s="499">
        <v>42639</v>
      </c>
      <c r="H654" s="517">
        <v>200</v>
      </c>
      <c r="I654" s="501">
        <v>14.72</v>
      </c>
      <c r="J654" s="502">
        <v>0.06</v>
      </c>
      <c r="K654" s="502">
        <f t="shared" si="172"/>
        <v>2943.94</v>
      </c>
      <c r="L654" s="500"/>
      <c r="M654" s="502"/>
    </row>
    <row r="655" spans="1:13" x14ac:dyDescent="0.25">
      <c r="A655" s="500"/>
      <c r="B655" s="549">
        <v>42625</v>
      </c>
      <c r="C655" s="500">
        <v>500</v>
      </c>
      <c r="D655" s="501">
        <v>15.22</v>
      </c>
      <c r="E655" s="502">
        <v>0</v>
      </c>
      <c r="F655" s="502">
        <f t="shared" si="171"/>
        <v>7610</v>
      </c>
      <c r="G655" s="499">
        <v>42641</v>
      </c>
      <c r="H655" s="517">
        <v>300</v>
      </c>
      <c r="I655" s="501">
        <v>15.28</v>
      </c>
      <c r="J655" s="502">
        <v>0.1</v>
      </c>
      <c r="K655" s="502">
        <f t="shared" si="172"/>
        <v>4583.8999999999996</v>
      </c>
      <c r="L655" s="500"/>
      <c r="M655" s="502"/>
    </row>
    <row r="656" spans="1:13" ht="30" x14ac:dyDescent="0.25">
      <c r="A656" s="603" t="s">
        <v>279</v>
      </c>
      <c r="B656" s="549">
        <v>42626</v>
      </c>
      <c r="C656" s="500">
        <v>600</v>
      </c>
      <c r="D656" s="501">
        <v>14.91</v>
      </c>
      <c r="E656" s="502">
        <v>-3</v>
      </c>
      <c r="F656" s="502">
        <f t="shared" si="171"/>
        <v>8943</v>
      </c>
      <c r="G656" s="499">
        <v>42641</v>
      </c>
      <c r="H656" s="517">
        <v>400</v>
      </c>
      <c r="I656" s="501">
        <v>15.06</v>
      </c>
      <c r="J656" s="502">
        <v>0.13</v>
      </c>
      <c r="K656" s="502">
        <f t="shared" si="172"/>
        <v>6023.87</v>
      </c>
      <c r="L656" s="500"/>
      <c r="M656" s="502"/>
    </row>
    <row r="657" spans="1:13" x14ac:dyDescent="0.25">
      <c r="A657" s="603"/>
      <c r="B657" s="549">
        <v>42626</v>
      </c>
      <c r="C657" s="500">
        <v>400</v>
      </c>
      <c r="D657" s="501">
        <v>14.75</v>
      </c>
      <c r="E657" s="502">
        <v>0</v>
      </c>
      <c r="F657" s="502">
        <f t="shared" si="171"/>
        <v>5900</v>
      </c>
      <c r="G657" s="499">
        <v>42641</v>
      </c>
      <c r="H657" s="517">
        <v>322</v>
      </c>
      <c r="I657" s="501">
        <v>14.39</v>
      </c>
      <c r="J657" s="502">
        <v>0.1</v>
      </c>
      <c r="K657" s="502">
        <f t="shared" si="172"/>
        <v>4633.4799999999996</v>
      </c>
      <c r="L657" s="500"/>
      <c r="M657" s="502"/>
    </row>
    <row r="658" spans="1:13" x14ac:dyDescent="0.25">
      <c r="A658" s="603"/>
      <c r="B658" s="549">
        <v>42626</v>
      </c>
      <c r="C658" s="500">
        <v>300</v>
      </c>
      <c r="D658" s="501">
        <v>14.48</v>
      </c>
      <c r="E658" s="502">
        <v>0</v>
      </c>
      <c r="F658" s="502">
        <f t="shared" si="171"/>
        <v>4344</v>
      </c>
      <c r="G658" s="499">
        <v>42641</v>
      </c>
      <c r="H658" s="517">
        <v>500</v>
      </c>
      <c r="I658" s="501">
        <v>14.26</v>
      </c>
      <c r="J658" s="502">
        <v>0.16</v>
      </c>
      <c r="K658" s="502">
        <f t="shared" si="172"/>
        <v>7129.84</v>
      </c>
      <c r="L658" s="500"/>
      <c r="M658" s="502"/>
    </row>
    <row r="659" spans="1:13" x14ac:dyDescent="0.25">
      <c r="A659" s="603"/>
      <c r="B659" s="549">
        <v>42626</v>
      </c>
      <c r="C659" s="500">
        <v>300</v>
      </c>
      <c r="D659" s="501">
        <v>14.25</v>
      </c>
      <c r="E659" s="502">
        <v>0</v>
      </c>
      <c r="F659" s="502">
        <f t="shared" si="171"/>
        <v>4275</v>
      </c>
      <c r="G659" s="499">
        <v>42642</v>
      </c>
      <c r="H659" s="517">
        <v>300</v>
      </c>
      <c r="I659" s="501">
        <v>15.28</v>
      </c>
      <c r="J659" s="502">
        <v>0.1</v>
      </c>
      <c r="K659" s="502">
        <f t="shared" si="172"/>
        <v>4583.8999999999996</v>
      </c>
      <c r="L659" s="500"/>
      <c r="M659" s="502"/>
    </row>
    <row r="660" spans="1:13" x14ac:dyDescent="0.25">
      <c r="A660" s="603"/>
      <c r="B660" s="549">
        <v>42627</v>
      </c>
      <c r="C660" s="500">
        <v>200</v>
      </c>
      <c r="D660" s="501">
        <v>14.02</v>
      </c>
      <c r="E660" s="502">
        <v>-1</v>
      </c>
      <c r="F660" s="502">
        <f t="shared" si="171"/>
        <v>2803</v>
      </c>
      <c r="G660" s="499">
        <v>42642</v>
      </c>
      <c r="H660" s="517">
        <v>700</v>
      </c>
      <c r="I660" s="501">
        <v>15.78</v>
      </c>
      <c r="J660" s="502">
        <v>0.24</v>
      </c>
      <c r="K660" s="502">
        <f t="shared" si="172"/>
        <v>11045.76</v>
      </c>
      <c r="L660" s="500"/>
      <c r="M660" s="502"/>
    </row>
    <row r="661" spans="1:13" x14ac:dyDescent="0.25">
      <c r="A661" s="500"/>
      <c r="B661" s="549">
        <v>42628</v>
      </c>
      <c r="C661" s="500">
        <v>300</v>
      </c>
      <c r="D661" s="501">
        <v>14.3</v>
      </c>
      <c r="E661" s="502">
        <v>0</v>
      </c>
      <c r="F661" s="502">
        <f t="shared" si="171"/>
        <v>4290</v>
      </c>
      <c r="G661" s="499">
        <v>42642</v>
      </c>
      <c r="H661" s="517">
        <v>214</v>
      </c>
      <c r="I661" s="501">
        <v>15.98</v>
      </c>
      <c r="J661" s="502">
        <v>7.0000000000000007E-2</v>
      </c>
      <c r="K661" s="502">
        <f t="shared" si="172"/>
        <v>3419.65</v>
      </c>
      <c r="L661" s="500"/>
      <c r="M661" s="502"/>
    </row>
    <row r="662" spans="1:13" x14ac:dyDescent="0.25">
      <c r="A662" s="500"/>
      <c r="B662" s="549">
        <v>42632</v>
      </c>
      <c r="C662" s="500">
        <v>200</v>
      </c>
      <c r="D662" s="501">
        <v>14.06</v>
      </c>
      <c r="E662" s="502">
        <v>0</v>
      </c>
      <c r="F662" s="502">
        <f t="shared" si="171"/>
        <v>2812</v>
      </c>
      <c r="G662" s="499">
        <v>42648</v>
      </c>
      <c r="H662" s="517">
        <v>1000</v>
      </c>
      <c r="I662" s="501">
        <v>16.079999999999998</v>
      </c>
      <c r="J662" s="502">
        <v>0.35</v>
      </c>
      <c r="K662" s="502">
        <f t="shared" si="172"/>
        <v>16079.649999999998</v>
      </c>
      <c r="L662" s="500"/>
      <c r="M662" s="502"/>
    </row>
    <row r="663" spans="1:13" x14ac:dyDescent="0.25">
      <c r="A663" s="500"/>
      <c r="B663" s="549">
        <v>42633</v>
      </c>
      <c r="C663" s="500">
        <v>200</v>
      </c>
      <c r="D663" s="501">
        <v>14.11</v>
      </c>
      <c r="E663" s="502">
        <v>0</v>
      </c>
      <c r="F663" s="502">
        <f t="shared" si="171"/>
        <v>2822</v>
      </c>
      <c r="G663" s="499">
        <v>42648</v>
      </c>
      <c r="H663" s="517">
        <v>500</v>
      </c>
      <c r="I663" s="501">
        <v>16.38</v>
      </c>
      <c r="J663" s="502">
        <v>0.18</v>
      </c>
      <c r="K663" s="502">
        <f t="shared" si="172"/>
        <v>8189.8199999999988</v>
      </c>
      <c r="L663" s="500"/>
      <c r="M663" s="502"/>
    </row>
    <row r="664" spans="1:13" x14ac:dyDescent="0.25">
      <c r="A664" s="500"/>
      <c r="B664" s="549">
        <v>42633</v>
      </c>
      <c r="C664" s="500">
        <v>122</v>
      </c>
      <c r="D664" s="501">
        <v>14.1</v>
      </c>
      <c r="E664" s="502">
        <v>0</v>
      </c>
      <c r="F664" s="502">
        <f t="shared" si="171"/>
        <v>1720.2</v>
      </c>
      <c r="G664" s="499">
        <v>42649</v>
      </c>
      <c r="H664" s="517">
        <v>500</v>
      </c>
      <c r="I664" s="501">
        <v>16.16</v>
      </c>
      <c r="J664" s="502">
        <v>0.18</v>
      </c>
      <c r="K664" s="502">
        <f t="shared" si="172"/>
        <v>8079.82</v>
      </c>
      <c r="L664" s="500"/>
      <c r="M664" s="502"/>
    </row>
    <row r="665" spans="1:13" x14ac:dyDescent="0.25">
      <c r="A665" s="500"/>
      <c r="B665" s="549">
        <v>42636</v>
      </c>
      <c r="C665" s="500">
        <v>200</v>
      </c>
      <c r="D665" s="501">
        <v>14.38</v>
      </c>
      <c r="E665" s="502">
        <v>0</v>
      </c>
      <c r="F665" s="502">
        <f t="shared" si="171"/>
        <v>2876</v>
      </c>
      <c r="G665" s="499">
        <v>42671</v>
      </c>
      <c r="H665" s="517">
        <v>1000</v>
      </c>
      <c r="I665" s="501">
        <v>14.22</v>
      </c>
      <c r="J665" s="502">
        <v>0.31</v>
      </c>
      <c r="K665" s="502">
        <f t="shared" si="172"/>
        <v>14219.69</v>
      </c>
      <c r="L665" s="500"/>
      <c r="M665" s="502"/>
    </row>
    <row r="666" spans="1:13" x14ac:dyDescent="0.25">
      <c r="A666" s="500"/>
      <c r="B666" s="549">
        <v>42639</v>
      </c>
      <c r="C666" s="500">
        <v>200</v>
      </c>
      <c r="D666" s="501">
        <v>14.5</v>
      </c>
      <c r="E666" s="502">
        <v>0</v>
      </c>
      <c r="F666" s="502">
        <f t="shared" ref="F666:F680" si="173">C666*D666+E666</f>
        <v>2900</v>
      </c>
      <c r="G666" s="499">
        <v>42674</v>
      </c>
      <c r="H666" s="517">
        <v>300</v>
      </c>
      <c r="I666" s="501">
        <v>13.42</v>
      </c>
      <c r="J666" s="502">
        <v>0.09</v>
      </c>
      <c r="K666" s="502">
        <f t="shared" si="172"/>
        <v>4025.91</v>
      </c>
      <c r="L666" s="500"/>
      <c r="M666" s="502"/>
    </row>
    <row r="667" spans="1:13" x14ac:dyDescent="0.25">
      <c r="A667" s="500"/>
      <c r="B667" s="549">
        <v>42639</v>
      </c>
      <c r="C667" s="500">
        <v>200</v>
      </c>
      <c r="D667" s="501">
        <v>14.38</v>
      </c>
      <c r="E667" s="502">
        <v>0</v>
      </c>
      <c r="F667" s="502">
        <f t="shared" si="173"/>
        <v>2876</v>
      </c>
      <c r="G667" s="499">
        <v>42674</v>
      </c>
      <c r="H667" s="517">
        <v>200</v>
      </c>
      <c r="I667" s="501">
        <v>13.25</v>
      </c>
      <c r="J667" s="502">
        <v>-0.74</v>
      </c>
      <c r="K667" s="502">
        <f t="shared" si="172"/>
        <v>2650.74</v>
      </c>
      <c r="L667" s="500"/>
      <c r="M667" s="502"/>
    </row>
    <row r="668" spans="1:13" x14ac:dyDescent="0.25">
      <c r="A668" s="500"/>
      <c r="B668" s="549">
        <v>42640</v>
      </c>
      <c r="C668" s="500">
        <v>322</v>
      </c>
      <c r="D668" s="501">
        <v>13.97</v>
      </c>
      <c r="E668" s="502">
        <v>0</v>
      </c>
      <c r="F668" s="502">
        <f t="shared" si="173"/>
        <v>4498.34</v>
      </c>
      <c r="G668" s="499">
        <v>42676</v>
      </c>
      <c r="H668" s="517">
        <v>200</v>
      </c>
      <c r="I668" s="501">
        <v>13.05</v>
      </c>
      <c r="J668" s="502">
        <v>0.06</v>
      </c>
      <c r="K668" s="502">
        <f t="shared" si="172"/>
        <v>2609.94</v>
      </c>
      <c r="L668" s="500"/>
      <c r="M668" s="502"/>
    </row>
    <row r="669" spans="1:13" x14ac:dyDescent="0.25">
      <c r="A669" s="500"/>
      <c r="B669" s="549">
        <v>42641</v>
      </c>
      <c r="C669" s="500">
        <v>300</v>
      </c>
      <c r="D669" s="501">
        <v>14.02</v>
      </c>
      <c r="E669" s="502">
        <v>-1.26</v>
      </c>
      <c r="F669" s="502">
        <f t="shared" si="173"/>
        <v>4204.74</v>
      </c>
      <c r="G669" s="499">
        <v>42677</v>
      </c>
      <c r="H669" s="517">
        <v>500</v>
      </c>
      <c r="I669" s="501">
        <v>13.96</v>
      </c>
      <c r="J669" s="502">
        <v>0.15</v>
      </c>
      <c r="K669" s="502">
        <f t="shared" si="172"/>
        <v>6979.85</v>
      </c>
      <c r="L669" s="500"/>
      <c r="M669" s="502"/>
    </row>
    <row r="670" spans="1:13" x14ac:dyDescent="0.25">
      <c r="A670" s="500"/>
      <c r="B670" s="549">
        <v>42641</v>
      </c>
      <c r="C670" s="500">
        <v>200</v>
      </c>
      <c r="D670" s="501">
        <v>14.17</v>
      </c>
      <c r="E670" s="502">
        <v>0</v>
      </c>
      <c r="F670" s="502">
        <f t="shared" si="173"/>
        <v>2834</v>
      </c>
      <c r="G670" s="499">
        <v>42677</v>
      </c>
      <c r="H670" s="517">
        <v>2000</v>
      </c>
      <c r="I670" s="501">
        <v>14.5</v>
      </c>
      <c r="J670" s="502">
        <v>0.63</v>
      </c>
      <c r="K670" s="502">
        <f t="shared" si="172"/>
        <v>28999.37</v>
      </c>
      <c r="L670" s="500"/>
      <c r="M670" s="502"/>
    </row>
    <row r="671" spans="1:13" x14ac:dyDescent="0.25">
      <c r="A671" s="500"/>
      <c r="B671" s="549">
        <v>42642</v>
      </c>
      <c r="C671" s="500">
        <v>414</v>
      </c>
      <c r="D671" s="501">
        <v>15.66</v>
      </c>
      <c r="E671" s="502">
        <v>0</v>
      </c>
      <c r="F671" s="502">
        <f t="shared" si="173"/>
        <v>6483.24</v>
      </c>
      <c r="G671" s="499">
        <v>42682</v>
      </c>
      <c r="H671" s="517">
        <v>1000</v>
      </c>
      <c r="I671" s="501">
        <v>14.28</v>
      </c>
      <c r="J671" s="502">
        <v>0.31</v>
      </c>
      <c r="K671" s="502">
        <f t="shared" si="172"/>
        <v>14279.69</v>
      </c>
      <c r="L671" s="500"/>
      <c r="M671" s="502"/>
    </row>
    <row r="672" spans="1:13" ht="30" x14ac:dyDescent="0.25">
      <c r="A672" s="603" t="s">
        <v>294</v>
      </c>
      <c r="B672" s="549">
        <v>42647</v>
      </c>
      <c r="C672" s="500">
        <v>500</v>
      </c>
      <c r="D672" s="501">
        <v>15.86</v>
      </c>
      <c r="E672" s="502">
        <v>0</v>
      </c>
      <c r="F672" s="502">
        <f t="shared" si="173"/>
        <v>7930</v>
      </c>
      <c r="G672" s="499">
        <v>42685</v>
      </c>
      <c r="H672" s="517">
        <v>500</v>
      </c>
      <c r="I672" s="501">
        <v>15.88</v>
      </c>
      <c r="J672" s="502">
        <v>0.17</v>
      </c>
      <c r="K672" s="502">
        <f t="shared" si="172"/>
        <v>7939.83</v>
      </c>
      <c r="L672" s="500"/>
      <c r="M672" s="502"/>
    </row>
    <row r="673" spans="1:13" x14ac:dyDescent="0.25">
      <c r="A673" s="603"/>
      <c r="B673" s="549">
        <v>42647</v>
      </c>
      <c r="C673" s="500">
        <v>500</v>
      </c>
      <c r="D673" s="501">
        <v>15.62</v>
      </c>
      <c r="E673" s="502">
        <v>0</v>
      </c>
      <c r="F673" s="502">
        <f t="shared" si="173"/>
        <v>7810</v>
      </c>
      <c r="G673" s="499">
        <v>42695</v>
      </c>
      <c r="H673" s="517">
        <v>2272</v>
      </c>
      <c r="I673" s="501">
        <v>16.28</v>
      </c>
      <c r="J673" s="502">
        <v>0.81</v>
      </c>
      <c r="K673" s="502">
        <f t="shared" si="172"/>
        <v>36987.350000000006</v>
      </c>
      <c r="L673" s="500"/>
      <c r="M673" s="502"/>
    </row>
    <row r="674" spans="1:13" x14ac:dyDescent="0.25">
      <c r="A674" s="603"/>
      <c r="B674" s="549">
        <v>42649</v>
      </c>
      <c r="C674" s="500">
        <v>500</v>
      </c>
      <c r="D674" s="501">
        <v>15.97</v>
      </c>
      <c r="E674" s="502">
        <v>0</v>
      </c>
      <c r="F674" s="502">
        <f t="shared" si="173"/>
        <v>7985</v>
      </c>
      <c r="G674" s="499">
        <v>42695</v>
      </c>
      <c r="H674" s="517">
        <v>500</v>
      </c>
      <c r="I674" s="501">
        <v>16.45</v>
      </c>
      <c r="J674" s="502">
        <v>0.18</v>
      </c>
      <c r="K674" s="502">
        <f t="shared" si="172"/>
        <v>8224.82</v>
      </c>
      <c r="L674" s="500"/>
      <c r="M674" s="502"/>
    </row>
    <row r="675" spans="1:13" x14ac:dyDescent="0.25">
      <c r="A675" s="603"/>
      <c r="B675" s="549">
        <v>42649</v>
      </c>
      <c r="C675" s="500">
        <v>500</v>
      </c>
      <c r="D675" s="501">
        <v>15.84</v>
      </c>
      <c r="E675" s="502">
        <v>0</v>
      </c>
      <c r="F675" s="502">
        <f t="shared" si="173"/>
        <v>7920</v>
      </c>
      <c r="G675" s="499">
        <v>42696</v>
      </c>
      <c r="H675" s="517">
        <v>500</v>
      </c>
      <c r="I675" s="501">
        <v>16.54</v>
      </c>
      <c r="J675" s="502">
        <v>0.18</v>
      </c>
      <c r="K675" s="502">
        <f t="shared" si="172"/>
        <v>8269.82</v>
      </c>
      <c r="L675" s="500"/>
      <c r="M675" s="502"/>
    </row>
    <row r="676" spans="1:13" x14ac:dyDescent="0.25">
      <c r="A676" s="500"/>
      <c r="B676" s="549">
        <v>42649</v>
      </c>
      <c r="C676" s="500">
        <v>500</v>
      </c>
      <c r="D676" s="501">
        <v>16.079999999999998</v>
      </c>
      <c r="E676" s="502">
        <v>0</v>
      </c>
      <c r="F676" s="502">
        <f t="shared" si="173"/>
        <v>8039.9999999999991</v>
      </c>
      <c r="G676" s="499">
        <v>42697</v>
      </c>
      <c r="H676" s="517">
        <v>200</v>
      </c>
      <c r="I676" s="501">
        <v>16.79</v>
      </c>
      <c r="J676" s="502">
        <v>7.0000000000000007E-2</v>
      </c>
      <c r="K676" s="502">
        <f t="shared" si="172"/>
        <v>3357.93</v>
      </c>
      <c r="L676" s="500"/>
      <c r="M676" s="502"/>
    </row>
    <row r="677" spans="1:13" x14ac:dyDescent="0.25">
      <c r="A677" s="500"/>
      <c r="B677" s="549">
        <v>42650</v>
      </c>
      <c r="C677" s="500">
        <v>300</v>
      </c>
      <c r="D677" s="501">
        <v>15.75</v>
      </c>
      <c r="E677" s="502">
        <v>0</v>
      </c>
      <c r="F677" s="502">
        <f t="shared" si="173"/>
        <v>4725</v>
      </c>
      <c r="G677" s="499">
        <v>42697</v>
      </c>
      <c r="H677" s="517">
        <v>500</v>
      </c>
      <c r="I677" s="501">
        <v>16.59</v>
      </c>
      <c r="J677" s="502">
        <v>0.18</v>
      </c>
      <c r="K677" s="502">
        <f t="shared" si="172"/>
        <v>8294.82</v>
      </c>
      <c r="L677" s="500"/>
      <c r="M677" s="502"/>
    </row>
    <row r="678" spans="1:13" x14ac:dyDescent="0.25">
      <c r="A678" s="500"/>
      <c r="B678" s="549">
        <v>42650</v>
      </c>
      <c r="C678" s="500">
        <v>300</v>
      </c>
      <c r="D678" s="501">
        <v>15.58</v>
      </c>
      <c r="E678" s="502">
        <v>0</v>
      </c>
      <c r="F678" s="502">
        <f t="shared" si="173"/>
        <v>4674</v>
      </c>
      <c r="G678" s="499">
        <v>42704</v>
      </c>
      <c r="H678" s="517">
        <v>1000</v>
      </c>
      <c r="I678" s="501">
        <v>16.420000000000002</v>
      </c>
      <c r="J678" s="502">
        <v>0.36</v>
      </c>
      <c r="K678" s="502">
        <f t="shared" si="172"/>
        <v>16419.64</v>
      </c>
      <c r="L678" s="500"/>
      <c r="M678" s="502"/>
    </row>
    <row r="679" spans="1:13" x14ac:dyDescent="0.25">
      <c r="A679" s="500"/>
      <c r="B679" s="549">
        <v>42653</v>
      </c>
      <c r="C679" s="500">
        <v>394</v>
      </c>
      <c r="D679" s="501">
        <v>15.72</v>
      </c>
      <c r="E679" s="502">
        <v>0</v>
      </c>
      <c r="F679" s="502">
        <f t="shared" si="173"/>
        <v>6193.68</v>
      </c>
      <c r="G679" s="499">
        <v>42704</v>
      </c>
      <c r="H679" s="517">
        <v>300</v>
      </c>
      <c r="I679" s="501">
        <v>16.78</v>
      </c>
      <c r="J679" s="502">
        <v>1.61</v>
      </c>
      <c r="K679" s="502">
        <f t="shared" si="172"/>
        <v>5032.3900000000003</v>
      </c>
      <c r="L679" s="500"/>
      <c r="M679" s="502"/>
    </row>
    <row r="680" spans="1:13" x14ac:dyDescent="0.25">
      <c r="A680" s="500"/>
      <c r="B680" s="549">
        <v>42653</v>
      </c>
      <c r="C680" s="500">
        <v>6</v>
      </c>
      <c r="D680" s="501">
        <v>15.72</v>
      </c>
      <c r="E680" s="502">
        <v>0</v>
      </c>
      <c r="F680" s="502">
        <f t="shared" si="173"/>
        <v>94.320000000000007</v>
      </c>
      <c r="G680" s="499">
        <v>42704</v>
      </c>
      <c r="H680" s="517">
        <v>1000</v>
      </c>
      <c r="I680" s="501">
        <v>17.079999999999998</v>
      </c>
      <c r="J680" s="502">
        <v>0.37</v>
      </c>
      <c r="K680" s="502">
        <f t="shared" si="172"/>
        <v>17079.63</v>
      </c>
      <c r="L680" s="500"/>
      <c r="M680" s="502"/>
    </row>
    <row r="681" spans="1:13" x14ac:dyDescent="0.25">
      <c r="A681" s="500"/>
      <c r="B681" s="549">
        <v>42655</v>
      </c>
      <c r="C681" s="500">
        <v>22</v>
      </c>
      <c r="D681" s="501">
        <v>15.48</v>
      </c>
      <c r="E681" s="502">
        <v>0</v>
      </c>
      <c r="F681" s="502">
        <f>C681*D681+E681</f>
        <v>340.56</v>
      </c>
      <c r="G681" s="499">
        <v>42704</v>
      </c>
      <c r="H681" s="517">
        <v>1000</v>
      </c>
      <c r="I681" s="501">
        <v>17.32</v>
      </c>
      <c r="J681" s="502">
        <v>0.38</v>
      </c>
      <c r="K681" s="502">
        <f t="shared" si="172"/>
        <v>17319.62</v>
      </c>
      <c r="L681" s="500"/>
      <c r="M681" s="502"/>
    </row>
    <row r="682" spans="1:13" x14ac:dyDescent="0.25">
      <c r="A682" s="500"/>
      <c r="B682" s="549">
        <v>42655</v>
      </c>
      <c r="C682" s="500">
        <v>300</v>
      </c>
      <c r="D682" s="501">
        <v>15.48</v>
      </c>
      <c r="E682" s="502">
        <v>0</v>
      </c>
      <c r="F682" s="502">
        <f>C682*D682+E682</f>
        <v>4644</v>
      </c>
      <c r="G682" s="499">
        <v>42704</v>
      </c>
      <c r="H682" s="517">
        <v>500</v>
      </c>
      <c r="I682" s="501">
        <v>17.64</v>
      </c>
      <c r="J682" s="502">
        <v>0.19</v>
      </c>
      <c r="K682" s="502">
        <f t="shared" si="172"/>
        <v>8819.81</v>
      </c>
      <c r="L682" s="500"/>
      <c r="M682" s="502"/>
    </row>
    <row r="683" spans="1:13" x14ac:dyDescent="0.25">
      <c r="A683" s="604"/>
      <c r="B683" s="549">
        <v>42668</v>
      </c>
      <c r="C683" s="500">
        <v>500</v>
      </c>
      <c r="D683" s="501">
        <v>14.26</v>
      </c>
      <c r="E683" s="502">
        <v>-2.5</v>
      </c>
      <c r="F683" s="502">
        <f t="shared" ref="F683:F692" si="174">C683*D683+E683</f>
        <v>7127.5</v>
      </c>
      <c r="G683" s="499">
        <v>42705</v>
      </c>
      <c r="H683" s="517">
        <v>528</v>
      </c>
      <c r="I683" s="501">
        <v>18.7</v>
      </c>
      <c r="J683" s="502">
        <v>0.22</v>
      </c>
      <c r="K683" s="502">
        <f t="shared" si="172"/>
        <v>9873.380000000001</v>
      </c>
      <c r="L683" s="500"/>
      <c r="M683" s="502"/>
    </row>
    <row r="684" spans="1:13" x14ac:dyDescent="0.25">
      <c r="A684" s="604"/>
      <c r="B684" s="549">
        <v>42668</v>
      </c>
      <c r="C684" s="500">
        <v>500</v>
      </c>
      <c r="D684" s="501">
        <v>14.16</v>
      </c>
      <c r="E684" s="502">
        <v>0</v>
      </c>
      <c r="F684" s="502">
        <f t="shared" si="174"/>
        <v>7080</v>
      </c>
      <c r="G684" s="499">
        <v>42711</v>
      </c>
      <c r="H684" s="517">
        <v>500</v>
      </c>
      <c r="I684" s="501">
        <v>18.329999999999998</v>
      </c>
      <c r="J684" s="502">
        <v>0.2</v>
      </c>
      <c r="K684" s="502">
        <f t="shared" si="172"/>
        <v>9164.7999999999993</v>
      </c>
      <c r="L684" s="500"/>
      <c r="M684" s="502"/>
    </row>
    <row r="685" spans="1:13" x14ac:dyDescent="0.25">
      <c r="A685" s="604"/>
      <c r="B685" s="549">
        <v>42670</v>
      </c>
      <c r="C685" s="500">
        <v>500</v>
      </c>
      <c r="D685" s="501">
        <v>14.18</v>
      </c>
      <c r="E685" s="502">
        <v>0</v>
      </c>
      <c r="F685" s="502">
        <f t="shared" si="174"/>
        <v>7090</v>
      </c>
      <c r="G685" s="499">
        <v>42713</v>
      </c>
      <c r="H685" s="517">
        <v>500</v>
      </c>
      <c r="I685" s="501">
        <v>18.28</v>
      </c>
      <c r="J685" s="502">
        <v>0.2</v>
      </c>
      <c r="K685" s="502">
        <f t="shared" si="172"/>
        <v>9139.7999999999993</v>
      </c>
      <c r="L685" s="500"/>
      <c r="M685" s="502"/>
    </row>
    <row r="686" spans="1:13" x14ac:dyDescent="0.25">
      <c r="A686" s="604"/>
      <c r="B686" s="549">
        <v>42670</v>
      </c>
      <c r="C686" s="500">
        <v>500</v>
      </c>
      <c r="D686" s="501">
        <v>14.05</v>
      </c>
      <c r="E686" s="502">
        <v>0</v>
      </c>
      <c r="F686" s="502">
        <f t="shared" si="174"/>
        <v>7025</v>
      </c>
      <c r="G686" s="499">
        <v>42718</v>
      </c>
      <c r="H686" s="517">
        <v>200</v>
      </c>
      <c r="I686" s="501">
        <v>18.78</v>
      </c>
      <c r="J686" s="502">
        <v>0.08</v>
      </c>
      <c r="K686" s="502">
        <f t="shared" si="172"/>
        <v>3755.92</v>
      </c>
      <c r="L686" s="500"/>
      <c r="M686" s="502"/>
    </row>
    <row r="687" spans="1:13" x14ac:dyDescent="0.25">
      <c r="A687" s="604"/>
      <c r="B687" s="549">
        <v>42670</v>
      </c>
      <c r="C687" s="500">
        <v>500</v>
      </c>
      <c r="D687" s="501">
        <v>13.88</v>
      </c>
      <c r="E687" s="502">
        <v>0</v>
      </c>
      <c r="F687" s="502">
        <f t="shared" si="174"/>
        <v>6940</v>
      </c>
      <c r="G687" s="499">
        <v>42734</v>
      </c>
      <c r="H687" s="517">
        <v>1000</v>
      </c>
      <c r="I687" s="501">
        <v>17.72</v>
      </c>
      <c r="J687" s="502">
        <v>0.39</v>
      </c>
      <c r="K687" s="502">
        <f t="shared" si="172"/>
        <v>17719.61</v>
      </c>
      <c r="L687" s="500"/>
      <c r="M687" s="502"/>
    </row>
    <row r="688" spans="1:13" x14ac:dyDescent="0.25">
      <c r="A688" s="500"/>
      <c r="B688" s="549">
        <v>42671</v>
      </c>
      <c r="C688" s="500">
        <v>1000</v>
      </c>
      <c r="D688" s="501">
        <v>14.15</v>
      </c>
      <c r="E688" s="502">
        <v>0</v>
      </c>
      <c r="F688" s="502">
        <f t="shared" si="174"/>
        <v>14150</v>
      </c>
      <c r="G688" s="499">
        <v>42739</v>
      </c>
      <c r="H688" s="517">
        <v>500</v>
      </c>
      <c r="I688" s="501">
        <v>18.079999999999998</v>
      </c>
      <c r="J688" s="502">
        <v>0.2</v>
      </c>
      <c r="K688" s="502">
        <f t="shared" si="172"/>
        <v>9039.7999999999993</v>
      </c>
      <c r="L688" s="500"/>
      <c r="M688" s="502"/>
    </row>
    <row r="689" spans="1:13" x14ac:dyDescent="0.25">
      <c r="A689" s="500"/>
      <c r="B689" s="549">
        <v>42674</v>
      </c>
      <c r="C689" s="500">
        <v>300</v>
      </c>
      <c r="D689" s="501">
        <v>13.28</v>
      </c>
      <c r="E689" s="502">
        <v>-1.5</v>
      </c>
      <c r="F689" s="502">
        <f t="shared" si="174"/>
        <v>3982.5</v>
      </c>
      <c r="G689" s="499">
        <v>42748</v>
      </c>
      <c r="H689" s="517">
        <v>500</v>
      </c>
      <c r="I689" s="501">
        <v>17.48</v>
      </c>
      <c r="J689" s="502">
        <v>0.19</v>
      </c>
      <c r="K689" s="502">
        <f t="shared" si="172"/>
        <v>8739.81</v>
      </c>
      <c r="L689" s="500"/>
      <c r="M689" s="502"/>
    </row>
    <row r="690" spans="1:13" x14ac:dyDescent="0.25">
      <c r="A690" s="500"/>
      <c r="B690" s="549">
        <v>42674</v>
      </c>
      <c r="C690" s="500">
        <v>200</v>
      </c>
      <c r="D690" s="501">
        <v>13.15</v>
      </c>
      <c r="E690" s="502">
        <v>0.02</v>
      </c>
      <c r="F690" s="502">
        <f t="shared" si="174"/>
        <v>2630.02</v>
      </c>
      <c r="G690" s="499">
        <v>42761</v>
      </c>
      <c r="H690" s="517">
        <v>1000</v>
      </c>
      <c r="I690" s="501">
        <v>17.899999999999999</v>
      </c>
      <c r="J690" s="502">
        <v>0.39</v>
      </c>
      <c r="K690" s="502">
        <f t="shared" si="172"/>
        <v>17899.61</v>
      </c>
      <c r="L690" s="500"/>
      <c r="M690" s="502"/>
    </row>
    <row r="691" spans="1:13" x14ac:dyDescent="0.25">
      <c r="A691" s="500"/>
      <c r="B691" s="549">
        <v>42676</v>
      </c>
      <c r="C691" s="500">
        <v>200</v>
      </c>
      <c r="D691" s="501">
        <v>12.89</v>
      </c>
      <c r="E691" s="502">
        <v>0</v>
      </c>
      <c r="F691" s="502">
        <f t="shared" si="174"/>
        <v>2578</v>
      </c>
      <c r="G691" s="499">
        <v>42766</v>
      </c>
      <c r="H691" s="517">
        <v>300</v>
      </c>
      <c r="I691" s="501">
        <v>16.649999999999999</v>
      </c>
      <c r="J691" s="502">
        <v>0.11</v>
      </c>
      <c r="K691" s="502">
        <f t="shared" si="172"/>
        <v>4994.8900000000003</v>
      </c>
      <c r="L691" s="500"/>
      <c r="M691" s="502"/>
    </row>
    <row r="692" spans="1:13" x14ac:dyDescent="0.25">
      <c r="A692" s="500"/>
      <c r="B692" s="549">
        <v>42678</v>
      </c>
      <c r="C692" s="500">
        <v>500</v>
      </c>
      <c r="D692" s="501">
        <v>13.69</v>
      </c>
      <c r="E692" s="502">
        <v>0</v>
      </c>
      <c r="F692" s="502">
        <f t="shared" si="174"/>
        <v>6845</v>
      </c>
      <c r="G692" s="499">
        <v>42767</v>
      </c>
      <c r="H692" s="517">
        <v>612</v>
      </c>
      <c r="I692" s="501">
        <v>17.03</v>
      </c>
      <c r="J692" s="502">
        <v>0.23</v>
      </c>
      <c r="K692" s="502">
        <f t="shared" si="172"/>
        <v>10422.130000000001</v>
      </c>
      <c r="L692" s="500"/>
      <c r="M692" s="502"/>
    </row>
    <row r="693" spans="1:13" x14ac:dyDescent="0.25">
      <c r="A693" s="500"/>
      <c r="B693" s="549">
        <v>42678</v>
      </c>
      <c r="C693" s="500">
        <v>500</v>
      </c>
      <c r="D693" s="501">
        <v>13.69</v>
      </c>
      <c r="E693" s="502">
        <v>0</v>
      </c>
      <c r="F693" s="502">
        <f>C693*D693+E693</f>
        <v>6845</v>
      </c>
      <c r="G693" s="499">
        <v>42767</v>
      </c>
      <c r="H693" s="517">
        <v>288</v>
      </c>
      <c r="I693" s="501">
        <v>17.12</v>
      </c>
      <c r="J693" s="502">
        <v>0.11</v>
      </c>
      <c r="K693" s="502">
        <f t="shared" si="172"/>
        <v>4930.4500000000007</v>
      </c>
      <c r="L693" s="500"/>
      <c r="M693" s="502"/>
    </row>
    <row r="694" spans="1:13" x14ac:dyDescent="0.25">
      <c r="A694" s="500"/>
      <c r="B694" s="549">
        <v>42691</v>
      </c>
      <c r="C694" s="500">
        <v>150</v>
      </c>
      <c r="D694" s="501">
        <v>15.48</v>
      </c>
      <c r="E694" s="502">
        <v>0</v>
      </c>
      <c r="F694" s="502">
        <f t="shared" ref="F694:F710" si="175">C694*D694+E694</f>
        <v>2322</v>
      </c>
      <c r="G694" s="499">
        <v>42767</v>
      </c>
      <c r="H694" s="517">
        <v>700</v>
      </c>
      <c r="I694" s="501">
        <v>16.57</v>
      </c>
      <c r="J694" s="502">
        <v>0.25</v>
      </c>
      <c r="K694" s="502">
        <f t="shared" si="172"/>
        <v>11598.75</v>
      </c>
      <c r="L694" s="500"/>
      <c r="M694" s="502"/>
    </row>
    <row r="695" spans="1:13" x14ac:dyDescent="0.25">
      <c r="A695" s="500"/>
      <c r="B695" s="549">
        <v>42691</v>
      </c>
      <c r="C695" s="500">
        <v>300</v>
      </c>
      <c r="D695" s="501">
        <v>15.48</v>
      </c>
      <c r="E695" s="502">
        <v>0</v>
      </c>
      <c r="F695" s="502">
        <f t="shared" si="175"/>
        <v>4644</v>
      </c>
      <c r="G695" s="499">
        <v>42768</v>
      </c>
      <c r="H695" s="517">
        <v>200</v>
      </c>
      <c r="I695" s="501">
        <v>16.7</v>
      </c>
      <c r="J695" s="502">
        <v>7.0000000000000007E-2</v>
      </c>
      <c r="K695" s="502">
        <f t="shared" si="172"/>
        <v>3339.93</v>
      </c>
      <c r="L695" s="500"/>
      <c r="M695" s="502"/>
    </row>
    <row r="696" spans="1:13" x14ac:dyDescent="0.25">
      <c r="A696" s="500"/>
      <c r="B696" s="549">
        <v>42696</v>
      </c>
      <c r="C696" s="500">
        <v>1000</v>
      </c>
      <c r="D696" s="501">
        <v>16.12</v>
      </c>
      <c r="E696" s="502">
        <v>0</v>
      </c>
      <c r="F696" s="502">
        <f t="shared" si="175"/>
        <v>16120.000000000002</v>
      </c>
      <c r="G696" s="499">
        <v>42768</v>
      </c>
      <c r="H696" s="517">
        <v>500</v>
      </c>
      <c r="I696" s="501">
        <v>16.600000000000001</v>
      </c>
      <c r="J696" s="502">
        <v>-1.82</v>
      </c>
      <c r="K696" s="502">
        <f t="shared" si="172"/>
        <v>8301.82</v>
      </c>
      <c r="L696" s="500"/>
      <c r="M696" s="502"/>
    </row>
    <row r="697" spans="1:13" x14ac:dyDescent="0.25">
      <c r="A697" s="500"/>
      <c r="B697" s="549">
        <v>42699</v>
      </c>
      <c r="C697" s="500">
        <v>200</v>
      </c>
      <c r="D697" s="501">
        <v>16.28</v>
      </c>
      <c r="E697" s="502">
        <v>0</v>
      </c>
      <c r="F697" s="502">
        <f t="shared" si="175"/>
        <v>3256</v>
      </c>
      <c r="G697" s="499">
        <v>42768</v>
      </c>
      <c r="H697" s="517">
        <v>500</v>
      </c>
      <c r="I697" s="501">
        <v>16.75</v>
      </c>
      <c r="J697" s="502">
        <v>0.18</v>
      </c>
      <c r="K697" s="502">
        <f t="shared" si="172"/>
        <v>8374.82</v>
      </c>
      <c r="L697" s="500"/>
      <c r="M697" s="502"/>
    </row>
    <row r="698" spans="1:13" x14ac:dyDescent="0.25">
      <c r="A698" s="604"/>
      <c r="B698" s="549">
        <v>42699</v>
      </c>
      <c r="C698" s="500">
        <v>500</v>
      </c>
      <c r="D698" s="501">
        <v>16.16</v>
      </c>
      <c r="E698" s="502">
        <v>0</v>
      </c>
      <c r="F698" s="502">
        <f t="shared" si="175"/>
        <v>8080</v>
      </c>
      <c r="G698" s="499">
        <v>42769</v>
      </c>
      <c r="H698" s="605">
        <v>400</v>
      </c>
      <c r="I698" s="606">
        <v>16.95</v>
      </c>
      <c r="J698" s="607">
        <v>0.15</v>
      </c>
      <c r="K698" s="607">
        <f t="shared" si="172"/>
        <v>6779.85</v>
      </c>
      <c r="L698" s="500"/>
      <c r="M698" s="502"/>
    </row>
    <row r="699" spans="1:13" x14ac:dyDescent="0.25">
      <c r="A699" s="604"/>
      <c r="B699" s="549">
        <v>42702</v>
      </c>
      <c r="C699" s="500">
        <v>500</v>
      </c>
      <c r="D699" s="501">
        <v>16.059999999999999</v>
      </c>
      <c r="E699" s="502">
        <v>0</v>
      </c>
      <c r="F699" s="502">
        <f t="shared" si="175"/>
        <v>8029.9999999999991</v>
      </c>
      <c r="G699" s="499">
        <v>42769</v>
      </c>
      <c r="H699" s="605">
        <v>300</v>
      </c>
      <c r="I699" s="606">
        <v>17.32</v>
      </c>
      <c r="J699" s="607">
        <v>0.11</v>
      </c>
      <c r="K699" s="607">
        <f t="shared" si="172"/>
        <v>5195.8900000000003</v>
      </c>
      <c r="L699" s="500"/>
      <c r="M699" s="502"/>
    </row>
    <row r="700" spans="1:13" x14ac:dyDescent="0.25">
      <c r="A700" s="604"/>
      <c r="B700" s="549">
        <v>42702</v>
      </c>
      <c r="C700" s="500">
        <v>200</v>
      </c>
      <c r="D700" s="501">
        <v>15.8</v>
      </c>
      <c r="E700" s="502">
        <v>0</v>
      </c>
      <c r="F700" s="502">
        <f t="shared" si="175"/>
        <v>3160</v>
      </c>
      <c r="G700" s="499">
        <v>42781</v>
      </c>
      <c r="H700" s="517">
        <v>600</v>
      </c>
      <c r="I700" s="501">
        <v>16.52</v>
      </c>
      <c r="J700" s="502">
        <v>0.22</v>
      </c>
      <c r="K700" s="502">
        <f t="shared" si="172"/>
        <v>9911.7800000000007</v>
      </c>
      <c r="L700" s="500"/>
      <c r="M700" s="502"/>
    </row>
    <row r="701" spans="1:13" x14ac:dyDescent="0.25">
      <c r="A701" s="604"/>
      <c r="B701" s="549">
        <v>42702</v>
      </c>
      <c r="C701" s="500">
        <v>300</v>
      </c>
      <c r="D701" s="501">
        <v>15.65</v>
      </c>
      <c r="E701" s="502">
        <v>0</v>
      </c>
      <c r="F701" s="502">
        <f t="shared" si="175"/>
        <v>4695</v>
      </c>
      <c r="G701" s="499">
        <v>42781</v>
      </c>
      <c r="H701" s="517">
        <v>300</v>
      </c>
      <c r="I701" s="501">
        <v>16.440000000000001</v>
      </c>
      <c r="J701" s="502">
        <v>0.11</v>
      </c>
      <c r="K701" s="502">
        <f t="shared" si="172"/>
        <v>4931.8900000000003</v>
      </c>
      <c r="L701" s="500"/>
      <c r="M701" s="502"/>
    </row>
    <row r="702" spans="1:13" x14ac:dyDescent="0.25">
      <c r="A702" s="500"/>
      <c r="B702" s="549">
        <v>42703</v>
      </c>
      <c r="C702" s="500">
        <v>300</v>
      </c>
      <c r="D702" s="501">
        <v>14.78</v>
      </c>
      <c r="E702" s="502">
        <v>0</v>
      </c>
      <c r="F702" s="502">
        <f t="shared" si="175"/>
        <v>4434</v>
      </c>
      <c r="G702" s="499">
        <v>42782</v>
      </c>
      <c r="H702" s="517">
        <v>300</v>
      </c>
      <c r="I702" s="501">
        <v>17</v>
      </c>
      <c r="J702" s="502">
        <v>0.11</v>
      </c>
      <c r="K702" s="502">
        <f t="shared" si="172"/>
        <v>5099.8900000000003</v>
      </c>
      <c r="L702" s="500"/>
      <c r="M702" s="502"/>
    </row>
    <row r="703" spans="1:13" x14ac:dyDescent="0.25">
      <c r="A703" s="500"/>
      <c r="B703" s="549">
        <v>42705</v>
      </c>
      <c r="C703" s="500">
        <v>350</v>
      </c>
      <c r="D703" s="501">
        <v>17.600000000000001</v>
      </c>
      <c r="E703" s="502">
        <v>0</v>
      </c>
      <c r="F703" s="502">
        <f t="shared" si="175"/>
        <v>6160.0000000000009</v>
      </c>
      <c r="G703" s="500"/>
      <c r="H703" s="517"/>
      <c r="I703" s="501"/>
      <c r="J703" s="502"/>
      <c r="K703" s="502"/>
      <c r="L703" s="500"/>
      <c r="M703" s="502"/>
    </row>
    <row r="704" spans="1:13" x14ac:dyDescent="0.25">
      <c r="A704" s="500"/>
      <c r="B704" s="549">
        <v>42711</v>
      </c>
      <c r="C704" s="500">
        <v>500</v>
      </c>
      <c r="D704" s="501">
        <v>18.12</v>
      </c>
      <c r="E704" s="502">
        <v>0</v>
      </c>
      <c r="F704" s="502">
        <f t="shared" si="175"/>
        <v>9060</v>
      </c>
      <c r="G704" s="500"/>
      <c r="H704" s="517"/>
      <c r="I704" s="501"/>
      <c r="J704" s="502"/>
      <c r="K704" s="502"/>
      <c r="L704" s="500"/>
      <c r="M704" s="502"/>
    </row>
    <row r="705" spans="1:13" x14ac:dyDescent="0.25">
      <c r="A705" s="500"/>
      <c r="B705" s="549">
        <v>42713</v>
      </c>
      <c r="C705" s="500">
        <v>500</v>
      </c>
      <c r="D705" s="501">
        <v>18.12</v>
      </c>
      <c r="E705" s="502">
        <v>0</v>
      </c>
      <c r="F705" s="502">
        <f t="shared" si="175"/>
        <v>9060</v>
      </c>
      <c r="G705" s="500"/>
      <c r="H705" s="517"/>
      <c r="I705" s="501"/>
      <c r="J705" s="502"/>
      <c r="K705" s="502"/>
      <c r="L705" s="500"/>
      <c r="M705" s="502"/>
    </row>
    <row r="706" spans="1:13" x14ac:dyDescent="0.25">
      <c r="A706" s="500"/>
      <c r="B706" s="549">
        <v>42718</v>
      </c>
      <c r="C706" s="500">
        <v>200</v>
      </c>
      <c r="D706" s="501">
        <v>18.73</v>
      </c>
      <c r="E706" s="502">
        <v>-1</v>
      </c>
      <c r="F706" s="502">
        <f t="shared" si="175"/>
        <v>3745</v>
      </c>
      <c r="G706" s="500"/>
      <c r="H706" s="517"/>
      <c r="I706" s="501"/>
      <c r="J706" s="502"/>
      <c r="K706" s="502"/>
      <c r="L706" s="500"/>
      <c r="M706" s="502"/>
    </row>
    <row r="707" spans="1:13" x14ac:dyDescent="0.25">
      <c r="A707" s="500"/>
      <c r="B707" s="549">
        <v>42733</v>
      </c>
      <c r="C707" s="500">
        <v>1000</v>
      </c>
      <c r="D707" s="501">
        <v>17.64</v>
      </c>
      <c r="E707" s="502">
        <v>-1.5</v>
      </c>
      <c r="F707" s="502">
        <f t="shared" si="175"/>
        <v>17638.5</v>
      </c>
      <c r="G707" s="500"/>
      <c r="H707" s="517"/>
      <c r="I707" s="501"/>
      <c r="J707" s="502"/>
      <c r="K707" s="502"/>
      <c r="L707" s="500"/>
      <c r="M707" s="502"/>
    </row>
    <row r="708" spans="1:13" x14ac:dyDescent="0.25">
      <c r="A708" s="500"/>
      <c r="B708" s="549">
        <v>42734</v>
      </c>
      <c r="C708" s="500">
        <v>1000</v>
      </c>
      <c r="D708" s="501">
        <v>17.329999999999998</v>
      </c>
      <c r="E708" s="502">
        <v>0</v>
      </c>
      <c r="F708" s="502">
        <f t="shared" si="175"/>
        <v>17330</v>
      </c>
      <c r="G708" s="500"/>
      <c r="H708" s="517"/>
      <c r="I708" s="501"/>
      <c r="J708" s="502"/>
      <c r="K708" s="502"/>
      <c r="L708" s="500"/>
      <c r="M708" s="502"/>
    </row>
    <row r="709" spans="1:13" x14ac:dyDescent="0.25">
      <c r="A709" s="500"/>
      <c r="B709" s="549">
        <v>42741</v>
      </c>
      <c r="C709" s="500">
        <v>500</v>
      </c>
      <c r="D709" s="501">
        <v>17.88</v>
      </c>
      <c r="E709" s="502">
        <v>0</v>
      </c>
      <c r="F709" s="502">
        <f t="shared" si="175"/>
        <v>8940</v>
      </c>
      <c r="G709" s="500"/>
      <c r="H709" s="517"/>
      <c r="I709" s="501"/>
      <c r="J709" s="502"/>
      <c r="K709" s="502"/>
      <c r="L709" s="500"/>
      <c r="M709" s="502"/>
    </row>
    <row r="710" spans="1:13" x14ac:dyDescent="0.25">
      <c r="A710" s="500"/>
      <c r="B710" s="549">
        <v>42748</v>
      </c>
      <c r="C710" s="500">
        <v>500</v>
      </c>
      <c r="D710" s="501">
        <v>17.260000000000002</v>
      </c>
      <c r="E710" s="502">
        <v>0</v>
      </c>
      <c r="F710" s="502">
        <f t="shared" si="175"/>
        <v>8630</v>
      </c>
      <c r="G710" s="500"/>
      <c r="H710" s="517"/>
      <c r="I710" s="501"/>
      <c r="J710" s="502"/>
      <c r="K710" s="502"/>
      <c r="L710" s="500"/>
      <c r="M710" s="502"/>
    </row>
    <row r="711" spans="1:13" x14ac:dyDescent="0.25">
      <c r="A711" s="500"/>
      <c r="B711" s="549"/>
      <c r="C711" s="500"/>
      <c r="D711" s="501"/>
      <c r="E711" s="502"/>
      <c r="F711" s="502"/>
      <c r="G711" s="500"/>
      <c r="H711" s="517"/>
      <c r="I711" s="501"/>
      <c r="J711" s="502"/>
      <c r="K711" s="502"/>
      <c r="L711" s="500"/>
      <c r="M711" s="502"/>
    </row>
    <row r="712" spans="1:13" x14ac:dyDescent="0.25">
      <c r="A712" s="500"/>
      <c r="B712" s="549"/>
      <c r="C712" s="500"/>
      <c r="D712" s="501"/>
      <c r="E712" s="502"/>
      <c r="F712" s="502"/>
      <c r="G712" s="500"/>
      <c r="H712" s="517"/>
      <c r="I712" s="501"/>
      <c r="J712" s="502"/>
      <c r="K712" s="502"/>
      <c r="L712" s="500"/>
      <c r="M712" s="502"/>
    </row>
    <row r="713" spans="1:13" x14ac:dyDescent="0.25">
      <c r="A713" s="603"/>
      <c r="B713" s="549"/>
      <c r="C713" s="500"/>
      <c r="D713" s="501"/>
      <c r="E713" s="502"/>
      <c r="F713" s="502"/>
      <c r="G713" s="500"/>
      <c r="H713" s="517"/>
      <c r="I713" s="501"/>
      <c r="J713" s="502"/>
      <c r="K713" s="502"/>
      <c r="L713" s="500"/>
      <c r="M713" s="502"/>
    </row>
    <row r="714" spans="1:13" x14ac:dyDescent="0.25">
      <c r="A714" s="603"/>
      <c r="B714" s="549"/>
      <c r="C714" s="500"/>
      <c r="D714" s="501"/>
      <c r="E714" s="502"/>
      <c r="F714" s="502"/>
      <c r="G714" s="500"/>
      <c r="H714" s="517"/>
      <c r="I714" s="501"/>
      <c r="J714" s="502"/>
      <c r="K714" s="502"/>
      <c r="L714" s="500"/>
      <c r="M714" s="502"/>
    </row>
    <row r="715" spans="1:13" x14ac:dyDescent="0.25">
      <c r="A715" s="603"/>
      <c r="B715" s="549"/>
      <c r="C715" s="500"/>
      <c r="D715" s="501"/>
      <c r="E715" s="502"/>
      <c r="F715" s="502"/>
      <c r="G715" s="500"/>
      <c r="H715" s="517"/>
      <c r="I715" s="501"/>
      <c r="J715" s="502"/>
      <c r="K715" s="502"/>
      <c r="L715" s="500"/>
      <c r="M715" s="502"/>
    </row>
    <row r="716" spans="1:13" x14ac:dyDescent="0.25">
      <c r="A716" s="603"/>
      <c r="B716" s="549"/>
      <c r="C716" s="500"/>
      <c r="D716" s="501"/>
      <c r="E716" s="502"/>
      <c r="F716" s="502"/>
      <c r="G716" s="500"/>
      <c r="H716" s="517"/>
      <c r="I716" s="501"/>
      <c r="J716" s="502"/>
      <c r="K716" s="502"/>
      <c r="L716" s="500"/>
      <c r="M716" s="502"/>
    </row>
    <row r="717" spans="1:13" x14ac:dyDescent="0.25">
      <c r="A717" s="500"/>
      <c r="B717" s="549"/>
      <c r="C717" s="500"/>
      <c r="D717" s="501"/>
      <c r="E717" s="502"/>
      <c r="F717" s="502"/>
      <c r="G717" s="500"/>
      <c r="H717" s="517"/>
      <c r="I717" s="501"/>
      <c r="J717" s="502"/>
      <c r="K717" s="502"/>
      <c r="L717" s="500"/>
      <c r="M717" s="502"/>
    </row>
    <row r="718" spans="1:13" x14ac:dyDescent="0.25">
      <c r="A718" s="500"/>
      <c r="B718" s="549"/>
      <c r="C718" s="500"/>
      <c r="D718" s="501"/>
      <c r="E718" s="502"/>
      <c r="F718" s="502"/>
      <c r="G718" s="500"/>
      <c r="H718" s="517"/>
      <c r="I718" s="501"/>
      <c r="J718" s="502"/>
      <c r="K718" s="502"/>
      <c r="L718" s="500"/>
      <c r="M718" s="502"/>
    </row>
    <row r="719" spans="1:13" x14ac:dyDescent="0.25">
      <c r="A719" s="500"/>
      <c r="B719" s="549"/>
      <c r="C719" s="500"/>
      <c r="D719" s="501"/>
      <c r="E719" s="502"/>
      <c r="F719" s="502"/>
      <c r="G719" s="500"/>
      <c r="H719" s="517"/>
      <c r="I719" s="501"/>
      <c r="J719" s="502"/>
      <c r="K719" s="502"/>
      <c r="L719" s="500"/>
      <c r="M719" s="502"/>
    </row>
    <row r="720" spans="1:13" x14ac:dyDescent="0.25">
      <c r="A720" s="500"/>
      <c r="B720" s="549"/>
      <c r="C720" s="500"/>
      <c r="D720" s="501"/>
      <c r="E720" s="502"/>
      <c r="F720" s="502"/>
      <c r="G720" s="500"/>
      <c r="H720" s="517"/>
      <c r="I720" s="501"/>
      <c r="J720" s="502"/>
      <c r="K720" s="502"/>
      <c r="L720" s="500"/>
      <c r="M720" s="502"/>
    </row>
    <row r="721" spans="1:13" x14ac:dyDescent="0.25">
      <c r="A721" s="500"/>
      <c r="B721" s="549"/>
      <c r="C721" s="500"/>
      <c r="D721" s="501"/>
      <c r="E721" s="502"/>
      <c r="F721" s="502"/>
      <c r="G721" s="500"/>
      <c r="H721" s="517"/>
      <c r="I721" s="501"/>
      <c r="J721" s="502"/>
      <c r="K721" s="502"/>
      <c r="L721" s="500"/>
      <c r="M721" s="502"/>
    </row>
    <row r="722" spans="1:13" x14ac:dyDescent="0.25">
      <c r="A722" s="500"/>
      <c r="B722" s="549"/>
      <c r="C722" s="500"/>
      <c r="D722" s="501"/>
      <c r="E722" s="502"/>
      <c r="F722" s="502"/>
      <c r="G722" s="500"/>
      <c r="H722" s="517"/>
      <c r="I722" s="501"/>
      <c r="J722" s="502"/>
      <c r="K722" s="502"/>
      <c r="L722" s="500"/>
      <c r="M722" s="502"/>
    </row>
    <row r="723" spans="1:13" x14ac:dyDescent="0.25">
      <c r="A723" s="500"/>
      <c r="B723" s="549"/>
      <c r="C723" s="500"/>
      <c r="D723" s="501"/>
      <c r="E723" s="502"/>
      <c r="F723" s="502"/>
      <c r="G723" s="500"/>
      <c r="H723" s="517"/>
      <c r="I723" s="501"/>
      <c r="J723" s="502"/>
      <c r="K723" s="502"/>
      <c r="L723" s="500"/>
      <c r="M723" s="502"/>
    </row>
    <row r="724" spans="1:13" x14ac:dyDescent="0.25">
      <c r="A724" s="500"/>
      <c r="B724" s="549"/>
      <c r="C724" s="500"/>
      <c r="D724" s="501"/>
      <c r="E724" s="502"/>
      <c r="F724" s="502"/>
      <c r="G724" s="500"/>
      <c r="H724" s="517"/>
      <c r="I724" s="501"/>
      <c r="J724" s="502"/>
      <c r="K724" s="502"/>
      <c r="L724" s="500"/>
      <c r="M724" s="502"/>
    </row>
    <row r="725" spans="1:13" x14ac:dyDescent="0.25">
      <c r="A725" s="500"/>
      <c r="B725" s="549"/>
      <c r="C725" s="500"/>
      <c r="D725" s="501"/>
      <c r="E725" s="502"/>
      <c r="F725" s="502"/>
      <c r="G725" s="500"/>
      <c r="H725" s="517"/>
      <c r="I725" s="501"/>
      <c r="J725" s="502"/>
      <c r="K725" s="502"/>
      <c r="L725" s="500"/>
      <c r="M725" s="502"/>
    </row>
    <row r="726" spans="1:13" x14ac:dyDescent="0.25">
      <c r="A726" s="500"/>
      <c r="B726" s="549"/>
      <c r="C726" s="500"/>
      <c r="D726" s="501"/>
      <c r="E726" s="502"/>
      <c r="F726" s="502"/>
      <c r="G726" s="500"/>
      <c r="H726" s="517"/>
      <c r="I726" s="501"/>
      <c r="J726" s="502"/>
      <c r="K726" s="502"/>
      <c r="L726" s="500"/>
      <c r="M726" s="502"/>
    </row>
    <row r="727" spans="1:13" x14ac:dyDescent="0.25">
      <c r="A727" s="500"/>
      <c r="B727" s="549"/>
      <c r="C727" s="500"/>
      <c r="D727" s="501"/>
      <c r="E727" s="502"/>
      <c r="F727" s="502"/>
      <c r="G727" s="500"/>
      <c r="H727" s="517"/>
      <c r="I727" s="501"/>
      <c r="J727" s="502"/>
      <c r="K727" s="502"/>
      <c r="L727" s="500"/>
      <c r="M727" s="502"/>
    </row>
    <row r="728" spans="1:13" x14ac:dyDescent="0.25">
      <c r="A728" s="500"/>
      <c r="B728" s="549"/>
      <c r="C728" s="500"/>
      <c r="D728" s="501"/>
      <c r="E728" s="502"/>
      <c r="F728" s="502"/>
      <c r="G728" s="500"/>
      <c r="H728" s="517"/>
      <c r="I728" s="501"/>
      <c r="J728" s="502"/>
      <c r="K728" s="502"/>
      <c r="L728" s="500"/>
      <c r="M728" s="502"/>
    </row>
    <row r="729" spans="1:13" x14ac:dyDescent="0.25">
      <c r="A729" s="500"/>
      <c r="B729" s="549"/>
      <c r="C729" s="500"/>
      <c r="D729" s="501"/>
      <c r="E729" s="502"/>
      <c r="F729" s="502"/>
      <c r="G729" s="500"/>
      <c r="H729" s="517"/>
      <c r="I729" s="501"/>
      <c r="J729" s="502"/>
      <c r="K729" s="502"/>
      <c r="L729" s="500"/>
      <c r="M729" s="502"/>
    </row>
    <row r="730" spans="1:13" x14ac:dyDescent="0.25">
      <c r="A730" s="500"/>
      <c r="B730" s="549"/>
      <c r="C730" s="500"/>
      <c r="D730" s="501"/>
      <c r="E730" s="502"/>
      <c r="F730" s="502"/>
      <c r="G730" s="500"/>
      <c r="H730" s="517"/>
      <c r="I730" s="501"/>
      <c r="J730" s="502"/>
      <c r="K730" s="502"/>
      <c r="L730" s="500"/>
      <c r="M730" s="502"/>
    </row>
    <row r="731" spans="1:13" x14ac:dyDescent="0.25">
      <c r="A731" s="500"/>
      <c r="B731" s="549"/>
      <c r="C731" s="500"/>
      <c r="D731" s="501"/>
      <c r="E731" s="502"/>
      <c r="F731" s="502"/>
      <c r="G731" s="500"/>
      <c r="H731" s="517"/>
      <c r="I731" s="501"/>
      <c r="J731" s="502"/>
      <c r="K731" s="502"/>
      <c r="L731" s="500"/>
      <c r="M731" s="502"/>
    </row>
    <row r="732" spans="1:13" x14ac:dyDescent="0.25">
      <c r="A732" s="500"/>
      <c r="B732" s="549"/>
      <c r="C732" s="500"/>
      <c r="D732" s="501"/>
      <c r="E732" s="502"/>
      <c r="F732" s="502"/>
      <c r="G732" s="500"/>
      <c r="H732" s="517"/>
      <c r="I732" s="501"/>
      <c r="J732" s="502"/>
      <c r="K732" s="502"/>
      <c r="L732" s="500"/>
      <c r="M732" s="502"/>
    </row>
    <row r="733" spans="1:13" x14ac:dyDescent="0.25">
      <c r="A733" s="500"/>
      <c r="B733" s="549"/>
      <c r="C733" s="500"/>
      <c r="D733" s="501"/>
      <c r="E733" s="502"/>
      <c r="F733" s="502"/>
      <c r="G733" s="500"/>
      <c r="H733" s="517"/>
      <c r="I733" s="501"/>
      <c r="J733" s="502"/>
      <c r="K733" s="502"/>
      <c r="L733" s="500"/>
      <c r="M733" s="502"/>
    </row>
    <row r="734" spans="1:13" x14ac:dyDescent="0.25">
      <c r="A734" s="519" t="s">
        <v>81</v>
      </c>
      <c r="B734" s="608"/>
      <c r="C734" s="542">
        <f>SUM(C473:C733)</f>
        <v>133812</v>
      </c>
      <c r="D734" s="521"/>
      <c r="E734" s="521"/>
      <c r="F734" s="521">
        <f>SUM(F473:F733)</f>
        <v>1899450.8389999999</v>
      </c>
      <c r="G734" s="520"/>
      <c r="H734" s="542">
        <f>SUM(H473:H733)</f>
        <v>133812</v>
      </c>
      <c r="I734" s="609"/>
      <c r="J734" s="521"/>
      <c r="K734" s="521">
        <f>SUM(K473:K733)</f>
        <v>1911314.2100000016</v>
      </c>
      <c r="L734" s="520"/>
      <c r="M734" s="521">
        <f>SUM(M473:M483)</f>
        <v>2752.2000000000003</v>
      </c>
    </row>
    <row r="735" spans="1:13" ht="15.75" thickBot="1" x14ac:dyDescent="0.3">
      <c r="A735" s="522" t="s">
        <v>194</v>
      </c>
      <c r="B735" s="610"/>
      <c r="C735" s="524">
        <f>SumByColor($A$82, C473:C733)</f>
        <v>0</v>
      </c>
      <c r="D735" s="524"/>
      <c r="E735" s="524"/>
      <c r="F735" s="525">
        <f>SumByColor($A$82, F473:F733)</f>
        <v>0</v>
      </c>
      <c r="G735" s="524"/>
      <c r="H735" s="524">
        <f>SumByColor($A$82, H473:H733)</f>
        <v>0</v>
      </c>
      <c r="I735" s="524"/>
      <c r="J735" s="525"/>
      <c r="K735" s="525">
        <f>SumByColor($A$82, K473:K733)</f>
        <v>0</v>
      </c>
      <c r="L735" s="524"/>
      <c r="M735" s="525">
        <f>SumByColor($A$82, M473:M733)</f>
        <v>0</v>
      </c>
    </row>
    <row r="736" spans="1:13" x14ac:dyDescent="0.25">
      <c r="A736" s="500"/>
      <c r="B736" s="549"/>
      <c r="C736" s="500"/>
      <c r="D736" s="501"/>
      <c r="E736" s="502"/>
      <c r="F736" s="502"/>
      <c r="G736" s="500"/>
      <c r="H736" s="517"/>
      <c r="I736" s="501"/>
      <c r="J736" s="502"/>
      <c r="K736" s="502"/>
      <c r="L736" s="500"/>
      <c r="M736" s="502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2013" priority="123">
      <formula>F94&gt;0</formula>
    </cfRule>
    <cfRule type="expression" dxfId="2012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2011" priority="116">
      <formula>F212&gt;0</formula>
    </cfRule>
    <cfRule type="expression" dxfId="2010" priority="117">
      <formula>F212&lt;0</formula>
    </cfRule>
  </conditionalFormatting>
  <conditionalFormatting sqref="H212:H218">
    <cfRule type="expression" dxfId="2009" priority="112">
      <formula>H212&gt;0</formula>
    </cfRule>
    <cfRule type="expression" dxfId="2008" priority="113">
      <formula>H212&lt;0</formula>
    </cfRule>
  </conditionalFormatting>
  <conditionalFormatting sqref="Q8">
    <cfRule type="expression" dxfId="2007" priority="98">
      <formula>Q8&gt;0</formula>
    </cfRule>
    <cfRule type="expression" dxfId="2006" priority="99">
      <formula>Q8&lt;0</formula>
    </cfRule>
  </conditionalFormatting>
  <conditionalFormatting sqref="Q7">
    <cfRule type="expression" dxfId="2005" priority="100">
      <formula>Q7&gt;0</formula>
    </cfRule>
    <cfRule type="expression" dxfId="2004" priority="101">
      <formula>Q7&lt;0</formula>
    </cfRule>
  </conditionalFormatting>
  <conditionalFormatting sqref="F320:F326">
    <cfRule type="expression" dxfId="2003" priority="72">
      <formula>F320&gt;0</formula>
    </cfRule>
    <cfRule type="expression" dxfId="2002" priority="73">
      <formula>F320&lt;0</formula>
    </cfRule>
  </conditionalFormatting>
  <conditionalFormatting sqref="F245:F263 H245:H263">
    <cfRule type="expression" dxfId="2001" priority="94">
      <formula>F245&gt;0</formula>
    </cfRule>
    <cfRule type="expression" dxfId="2000" priority="95">
      <formula>F245&lt;0</formula>
    </cfRule>
  </conditionalFormatting>
  <conditionalFormatting sqref="F238:F244">
    <cfRule type="expression" dxfId="1999" priority="92">
      <formula>F238&gt;0</formula>
    </cfRule>
    <cfRule type="expression" dxfId="1998" priority="93">
      <formula>F238&lt;0</formula>
    </cfRule>
  </conditionalFormatting>
  <conditionalFormatting sqref="H238:H244">
    <cfRule type="expression" dxfId="1997" priority="90">
      <formula>H238&gt;0</formula>
    </cfRule>
    <cfRule type="expression" dxfId="1996" priority="91">
      <formula>H238&lt;0</formula>
    </cfRule>
  </conditionalFormatting>
  <conditionalFormatting sqref="F271:F289 H271:H289">
    <cfRule type="expression" dxfId="1995" priority="88">
      <formula>F271&gt;0</formula>
    </cfRule>
    <cfRule type="expression" dxfId="1994" priority="89">
      <formula>F271&lt;0</formula>
    </cfRule>
  </conditionalFormatting>
  <conditionalFormatting sqref="F264:F270">
    <cfRule type="expression" dxfId="1993" priority="86">
      <formula>F264&gt;0</formula>
    </cfRule>
    <cfRule type="expression" dxfId="1992" priority="87">
      <formula>F264&lt;0</formula>
    </cfRule>
  </conditionalFormatting>
  <conditionalFormatting sqref="H264:H270">
    <cfRule type="expression" dxfId="1991" priority="84">
      <formula>H264&gt;0</formula>
    </cfRule>
    <cfRule type="expression" dxfId="1990" priority="85">
      <formula>H264&lt;0</formula>
    </cfRule>
  </conditionalFormatting>
  <conditionalFormatting sqref="F297:F314 H297:H314">
    <cfRule type="expression" dxfId="1989" priority="82">
      <formula>F297&gt;0</formula>
    </cfRule>
    <cfRule type="expression" dxfId="1988" priority="83">
      <formula>F297&lt;0</formula>
    </cfRule>
  </conditionalFormatting>
  <conditionalFormatting sqref="F290:F296">
    <cfRule type="expression" dxfId="1987" priority="80">
      <formula>F290&gt;0</formula>
    </cfRule>
    <cfRule type="expression" dxfId="1986" priority="81">
      <formula>F290&lt;0</formula>
    </cfRule>
  </conditionalFormatting>
  <conditionalFormatting sqref="H290:H296">
    <cfRule type="expression" dxfId="1985" priority="78">
      <formula>H290&gt;0</formula>
    </cfRule>
    <cfRule type="expression" dxfId="1984" priority="79">
      <formula>H290&lt;0</formula>
    </cfRule>
  </conditionalFormatting>
  <conditionalFormatting sqref="F315:F319 H315:H319">
    <cfRule type="expression" dxfId="1983" priority="76">
      <formula>F315&gt;0</formula>
    </cfRule>
    <cfRule type="expression" dxfId="1982" priority="77">
      <formula>F315&lt;0</formula>
    </cfRule>
  </conditionalFormatting>
  <conditionalFormatting sqref="F327:F342 H327:H342">
    <cfRule type="expression" dxfId="1981" priority="74">
      <formula>F327&gt;0</formula>
    </cfRule>
    <cfRule type="expression" dxfId="1980" priority="75">
      <formula>F327&lt;0</formula>
    </cfRule>
  </conditionalFormatting>
  <conditionalFormatting sqref="H320:H326">
    <cfRule type="expression" dxfId="1979" priority="70">
      <formula>H320&gt;0</formula>
    </cfRule>
    <cfRule type="expression" dxfId="1978" priority="71">
      <formula>H320&lt;0</formula>
    </cfRule>
  </conditionalFormatting>
  <conditionalFormatting sqref="F343 H343">
    <cfRule type="expression" dxfId="1977" priority="68">
      <formula>F343&gt;0</formula>
    </cfRule>
    <cfRule type="expression" dxfId="1976" priority="69">
      <formula>F343&lt;0</formula>
    </cfRule>
  </conditionalFormatting>
  <conditionalFormatting sqref="F344:F348 H344:H348">
    <cfRule type="expression" dxfId="1975" priority="66">
      <formula>F344&gt;0</formula>
    </cfRule>
    <cfRule type="expression" dxfId="1974" priority="67">
      <formula>F344&lt;0</formula>
    </cfRule>
  </conditionalFormatting>
  <conditionalFormatting sqref="F356:F371 H356:H371">
    <cfRule type="expression" dxfId="1973" priority="64">
      <formula>F356&gt;0</formula>
    </cfRule>
    <cfRule type="expression" dxfId="1972" priority="65">
      <formula>F356&lt;0</formula>
    </cfRule>
  </conditionalFormatting>
  <conditionalFormatting sqref="F349:F355">
    <cfRule type="expression" dxfId="1971" priority="62">
      <formula>F349&gt;0</formula>
    </cfRule>
    <cfRule type="expression" dxfId="1970" priority="63">
      <formula>F349&lt;0</formula>
    </cfRule>
  </conditionalFormatting>
  <conditionalFormatting sqref="H349:H355">
    <cfRule type="expression" dxfId="1969" priority="60">
      <formula>H349&gt;0</formula>
    </cfRule>
    <cfRule type="expression" dxfId="1968" priority="61">
      <formula>H349&lt;0</formula>
    </cfRule>
  </conditionalFormatting>
  <conditionalFormatting sqref="F373:F378 H373:H378">
    <cfRule type="expression" dxfId="1967" priority="58">
      <formula>F373&gt;0</formula>
    </cfRule>
    <cfRule type="expression" dxfId="1966" priority="59">
      <formula>F373&lt;0</formula>
    </cfRule>
  </conditionalFormatting>
  <conditionalFormatting sqref="F379 H379">
    <cfRule type="expression" dxfId="1965" priority="56">
      <formula>F379&gt;0</formula>
    </cfRule>
    <cfRule type="expression" dxfId="1964" priority="57">
      <formula>F379&lt;0</formula>
    </cfRule>
  </conditionalFormatting>
  <conditionalFormatting sqref="F380:F384 H380:H384">
    <cfRule type="expression" dxfId="1963" priority="54">
      <formula>F380&gt;0</formula>
    </cfRule>
    <cfRule type="expression" dxfId="1962" priority="55">
      <formula>F380&lt;0</formula>
    </cfRule>
  </conditionalFormatting>
  <conditionalFormatting sqref="F392:F407 H392:H407">
    <cfRule type="expression" dxfId="1961" priority="52">
      <formula>F392&gt;0</formula>
    </cfRule>
    <cfRule type="expression" dxfId="1960" priority="53">
      <formula>F392&lt;0</formula>
    </cfRule>
  </conditionalFormatting>
  <conditionalFormatting sqref="F385:F391">
    <cfRule type="expression" dxfId="1959" priority="50">
      <formula>F385&gt;0</formula>
    </cfRule>
    <cfRule type="expression" dxfId="1958" priority="51">
      <formula>F385&lt;0</formula>
    </cfRule>
  </conditionalFormatting>
  <conditionalFormatting sqref="H385:H391">
    <cfRule type="expression" dxfId="1957" priority="48">
      <formula>H385&gt;0</formula>
    </cfRule>
    <cfRule type="expression" dxfId="1956" priority="49">
      <formula>H385&lt;0</formula>
    </cfRule>
  </conditionalFormatting>
  <conditionalFormatting sqref="F408:F413 H408:H413">
    <cfRule type="expression" dxfId="1955" priority="46">
      <formula>F408&gt;0</formula>
    </cfRule>
    <cfRule type="expression" dxfId="1954" priority="47">
      <formula>F408&lt;0</formula>
    </cfRule>
  </conditionalFormatting>
  <conditionalFormatting sqref="F414 H414">
    <cfRule type="expression" dxfId="1953" priority="44">
      <formula>F414&gt;0</formula>
    </cfRule>
    <cfRule type="expression" dxfId="1952" priority="45">
      <formula>F414&lt;0</formula>
    </cfRule>
  </conditionalFormatting>
  <conditionalFormatting sqref="F415:F419 H415:H419">
    <cfRule type="expression" dxfId="1951" priority="42">
      <formula>F415&gt;0</formula>
    </cfRule>
    <cfRule type="expression" dxfId="1950" priority="43">
      <formula>F415&lt;0</formula>
    </cfRule>
  </conditionalFormatting>
  <conditionalFormatting sqref="F427:F442 H427:H442">
    <cfRule type="expression" dxfId="1949" priority="40">
      <formula>F427&gt;0</formula>
    </cfRule>
    <cfRule type="expression" dxfId="1948" priority="41">
      <formula>F427&lt;0</formula>
    </cfRule>
  </conditionalFormatting>
  <conditionalFormatting sqref="F420:F426">
    <cfRule type="expression" dxfId="1947" priority="38">
      <formula>F420&gt;0</formula>
    </cfRule>
    <cfRule type="expression" dxfId="1946" priority="39">
      <formula>F420&lt;0</formula>
    </cfRule>
  </conditionalFormatting>
  <conditionalFormatting sqref="H420:H426">
    <cfRule type="expression" dxfId="1945" priority="36">
      <formula>H420&gt;0</formula>
    </cfRule>
    <cfRule type="expression" dxfId="1944" priority="37">
      <formula>H420&lt;0</formula>
    </cfRule>
  </conditionalFormatting>
  <conditionalFormatting sqref="M471">
    <cfRule type="expression" dxfId="1943" priority="34">
      <formula>M471&gt;0</formula>
    </cfRule>
    <cfRule type="expression" dxfId="1942" priority="35">
      <formula>M471&lt;0</formula>
    </cfRule>
  </conditionalFormatting>
  <conditionalFormatting sqref="F92:F103">
    <cfRule type="expression" dxfId="1941" priority="30">
      <formula>F92&gt;0</formula>
    </cfRule>
    <cfRule type="expression" dxfId="1940" priority="31">
      <formula>F92&lt;0</formula>
    </cfRule>
  </conditionalFormatting>
  <conditionalFormatting sqref="H92:H103">
    <cfRule type="expression" dxfId="1939" priority="28">
      <formula>H92&gt;0</formula>
    </cfRule>
    <cfRule type="expression" dxfId="1938" priority="29">
      <formula>H92&lt;0</formula>
    </cfRule>
  </conditionalFormatting>
  <conditionalFormatting sqref="F86:F91 H86:H91">
    <cfRule type="expression" dxfId="1937" priority="26">
      <formula>F86&gt;0</formula>
    </cfRule>
    <cfRule type="expression" dxfId="1936" priority="27">
      <formula>F86&lt;0</formula>
    </cfRule>
  </conditionalFormatting>
  <conditionalFormatting sqref="J88:K88">
    <cfRule type="expression" dxfId="1935" priority="24">
      <formula>J88&gt;0</formula>
    </cfRule>
    <cfRule type="expression" dxfId="1934" priority="25">
      <formula>J88&lt;0</formula>
    </cfRule>
  </conditionalFormatting>
  <conditionalFormatting sqref="J89:K95">
    <cfRule type="expression" dxfId="1933" priority="22">
      <formula>J89&gt;0</formula>
    </cfRule>
    <cfRule type="expression" dxfId="1932" priority="23">
      <formula>J89&lt;0</formula>
    </cfRule>
  </conditionalFormatting>
  <conditionalFormatting sqref="L88:L170 L177 L179">
    <cfRule type="expression" dxfId="1931" priority="18">
      <formula>L88&gt;0</formula>
    </cfRule>
    <cfRule type="expression" dxfId="1930" priority="19">
      <formula>L88&lt;0</formula>
    </cfRule>
  </conditionalFormatting>
  <conditionalFormatting sqref="Q10">
    <cfRule type="expression" dxfId="1929" priority="16">
      <formula>Q10&gt;0</formula>
    </cfRule>
    <cfRule type="expression" dxfId="1928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927" priority="13">
      <formula>F199&gt;0</formula>
    </cfRule>
    <cfRule type="expression" dxfId="1926" priority="14">
      <formula>F199&lt;0</formula>
    </cfRule>
  </conditionalFormatting>
  <conditionalFormatting sqref="K195:K197 H195:H197 F195:F197">
    <cfRule type="expression" dxfId="1925" priority="11">
      <formula>F195&gt;0</formula>
    </cfRule>
    <cfRule type="expression" dxfId="1924" priority="12">
      <formula>F195&lt;0</formula>
    </cfRule>
  </conditionalFormatting>
  <conditionalFormatting sqref="K193:K194 H194 F194">
    <cfRule type="expression" dxfId="1923" priority="9">
      <formula>F193&gt;0</formula>
    </cfRule>
    <cfRule type="expression" dxfId="1922" priority="10">
      <formula>F193&lt;0</formula>
    </cfRule>
  </conditionalFormatting>
  <conditionalFormatting sqref="K198 H198 F198">
    <cfRule type="expression" dxfId="1921" priority="7">
      <formula>F198&gt;0</formula>
    </cfRule>
    <cfRule type="expression" dxfId="1920" priority="8">
      <formula>F198&lt;0</formula>
    </cfRule>
  </conditionalFormatting>
  <conditionalFormatting sqref="H206:H207 F206:F207 K206:K207">
    <cfRule type="expression" dxfId="1919" priority="5">
      <formula>F206&gt;0</formula>
    </cfRule>
    <cfRule type="expression" dxfId="1918" priority="6">
      <formula>F206&lt;0</formula>
    </cfRule>
  </conditionalFormatting>
  <conditionalFormatting sqref="H204:H205 F204:F205 K204:K205">
    <cfRule type="expression" dxfId="1917" priority="3">
      <formula>F204&gt;0</formula>
    </cfRule>
    <cfRule type="expression" dxfId="1916" priority="4">
      <formula>F204&lt;0</formula>
    </cfRule>
  </conditionalFormatting>
  <conditionalFormatting sqref="H202:H203 F202:F203 K202:K203">
    <cfRule type="expression" dxfId="1915" priority="1">
      <formula>F202&gt;0</formula>
    </cfRule>
    <cfRule type="expression" dxfId="1914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861</v>
      </c>
      <c r="W2" s="134"/>
    </row>
    <row r="3" spans="1:23" x14ac:dyDescent="0.25">
      <c r="A3" s="22" t="s">
        <v>71</v>
      </c>
      <c r="B3" s="477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15.74</v>
      </c>
      <c r="T3" s="1"/>
      <c r="U3" t="s">
        <v>862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13.4899</v>
      </c>
      <c r="R4" s="498">
        <v>2.35E-2</v>
      </c>
      <c r="T4" s="158"/>
      <c r="U4" s="1" t="s">
        <v>910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5395.96</v>
      </c>
      <c r="T5" s="1">
        <v>43112</v>
      </c>
      <c r="U5" t="s">
        <v>908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-900.04</v>
      </c>
      <c r="R7">
        <v>200</v>
      </c>
      <c r="T7" s="1">
        <v>43117</v>
      </c>
      <c r="U7" t="s">
        <v>915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-900.04</v>
      </c>
      <c r="U8" t="s">
        <v>916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-0.14295425667090214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3.5582176294857631E-2</v>
      </c>
      <c r="R11">
        <f>0.12</f>
        <v>0.12</v>
      </c>
      <c r="T11" s="158">
        <v>43124</v>
      </c>
      <c r="U11" t="s">
        <v>909</v>
      </c>
      <c r="W11" s="134"/>
    </row>
    <row r="12" spans="1:23" x14ac:dyDescent="0.25">
      <c r="H12" s="70"/>
      <c r="O12" s="11" t="s">
        <v>82</v>
      </c>
      <c r="Q12" s="1" t="s">
        <v>1032</v>
      </c>
      <c r="W12" s="134"/>
    </row>
    <row r="13" spans="1:23" x14ac:dyDescent="0.25">
      <c r="H13" s="70"/>
      <c r="O13" s="11" t="s">
        <v>997</v>
      </c>
      <c r="Q13">
        <f>Q4/0.95</f>
        <v>14.199894736842106</v>
      </c>
      <c r="T13" s="1">
        <v>43210</v>
      </c>
      <c r="U13" t="s">
        <v>1011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47" t="s">
        <v>78</v>
      </c>
      <c r="P20" s="847"/>
      <c r="W20" s="134"/>
    </row>
    <row r="21" spans="1:23" ht="15.75" thickTop="1" x14ac:dyDescent="0.25">
      <c r="O21" s="81">
        <v>1.1000000000000001</v>
      </c>
      <c r="P21" s="81">
        <f>O21*$Q$4</f>
        <v>14.838890000000001</v>
      </c>
      <c r="W21" s="134"/>
    </row>
    <row r="22" spans="1:23" x14ac:dyDescent="0.25">
      <c r="O22" s="81">
        <v>1.0900000000000001</v>
      </c>
      <c r="P22" s="81">
        <f t="shared" ref="P22:P41" si="0">O22*$Q$4</f>
        <v>14.703991000000002</v>
      </c>
      <c r="W22" s="134"/>
    </row>
    <row r="23" spans="1:23" x14ac:dyDescent="0.25">
      <c r="O23" s="81">
        <v>1.08</v>
      </c>
      <c r="P23" s="81">
        <f t="shared" si="0"/>
        <v>14.569092000000001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1.07</v>
      </c>
      <c r="P24" s="81">
        <f t="shared" si="0"/>
        <v>14.434193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14.299294000000002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14.164395000000001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14.029496000000002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13.894597000000001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13.759698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13.624799000000001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13.4899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13.355001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5">
        <f t="shared" ref="H33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13.220102000000001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0.97</v>
      </c>
      <c r="P34" s="81">
        <f t="shared" si="0"/>
        <v>13.085203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12.950303999999999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12.815405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12.680505999999999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12.545607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12.410708000000001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12.275809000000001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12.14091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 t="s">
        <v>798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A88" s="365"/>
      <c r="B88" s="487" t="s">
        <v>113</v>
      </c>
      <c r="C88" s="487" t="s">
        <v>146</v>
      </c>
      <c r="D88" s="488" t="s">
        <v>145</v>
      </c>
      <c r="E88" s="489" t="s">
        <v>147</v>
      </c>
      <c r="F88" s="489" t="s">
        <v>65</v>
      </c>
      <c r="G88" s="491" t="s">
        <v>151</v>
      </c>
      <c r="H88" s="491" t="s">
        <v>88</v>
      </c>
      <c r="I88" s="491" t="s">
        <v>154</v>
      </c>
      <c r="J88" s="366"/>
      <c r="K88" s="366"/>
      <c r="L88" s="365"/>
      <c r="M88" s="365"/>
    </row>
    <row r="89" spans="1:13" x14ac:dyDescent="0.25">
      <c r="A89" s="365"/>
      <c r="B89" s="364"/>
      <c r="C89" s="365"/>
      <c r="D89" s="366"/>
      <c r="E89" s="366"/>
      <c r="F89" s="366"/>
      <c r="G89" s="366"/>
      <c r="H89" s="367"/>
      <c r="I89" s="366"/>
      <c r="J89" s="366"/>
      <c r="K89" s="366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6"/>
      <c r="H90" s="367"/>
      <c r="I90" s="366"/>
      <c r="J90" s="366"/>
      <c r="K90" s="366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6"/>
      <c r="H91" s="367"/>
      <c r="I91" s="366"/>
      <c r="J91" s="366"/>
      <c r="K91" s="366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6"/>
      <c r="H92" s="367"/>
      <c r="I92" s="366"/>
      <c r="J92" s="366"/>
      <c r="K92" s="366"/>
      <c r="L92" s="365"/>
      <c r="M92" s="365"/>
    </row>
    <row r="93" spans="1:13" x14ac:dyDescent="0.25">
      <c r="A93" s="365"/>
      <c r="B93" s="364"/>
      <c r="C93" s="365"/>
      <c r="D93" s="366"/>
      <c r="E93" s="366"/>
      <c r="F93" s="366"/>
      <c r="G93" s="366"/>
      <c r="H93" s="367"/>
      <c r="I93" s="366"/>
      <c r="J93" s="366"/>
      <c r="K93" s="366"/>
      <c r="L93" s="365"/>
      <c r="M93" s="365"/>
    </row>
    <row r="94" spans="1:13" x14ac:dyDescent="0.25">
      <c r="A94" s="365"/>
      <c r="B94" s="364"/>
      <c r="C94" s="365"/>
      <c r="D94" s="366"/>
      <c r="E94" s="366"/>
      <c r="F94" s="366"/>
      <c r="G94" s="366"/>
      <c r="H94" s="367"/>
      <c r="I94" s="366"/>
      <c r="J94" s="366"/>
      <c r="K94" s="366"/>
      <c r="L94" s="365"/>
      <c r="M94" s="365"/>
    </row>
    <row r="95" spans="1:13" x14ac:dyDescent="0.25">
      <c r="A95" s="365"/>
      <c r="B95" s="364"/>
      <c r="C95" s="365"/>
      <c r="D95" s="366"/>
      <c r="E95" s="366"/>
      <c r="F95" s="366"/>
      <c r="G95" s="366"/>
      <c r="H95" s="367"/>
      <c r="I95" s="366"/>
      <c r="J95" s="366"/>
      <c r="K95" s="366"/>
      <c r="L95" s="365"/>
      <c r="M95" s="365"/>
    </row>
    <row r="96" spans="1:13" x14ac:dyDescent="0.25">
      <c r="A96" s="365"/>
      <c r="B96" s="364"/>
      <c r="C96" s="365"/>
      <c r="D96" s="366"/>
      <c r="E96" s="366"/>
      <c r="F96" s="366"/>
      <c r="G96" s="366"/>
      <c r="H96" s="367"/>
      <c r="I96" s="366"/>
      <c r="J96" s="366"/>
      <c r="K96" s="366"/>
      <c r="L96" s="365"/>
      <c r="M96" s="365"/>
    </row>
    <row r="97" spans="1:13" x14ac:dyDescent="0.25">
      <c r="A97" s="365"/>
      <c r="B97" s="364"/>
      <c r="C97" s="365"/>
      <c r="D97" s="366"/>
      <c r="E97" s="366"/>
      <c r="F97" s="366"/>
      <c r="G97" s="366"/>
      <c r="H97" s="367"/>
      <c r="I97" s="366"/>
      <c r="J97" s="366"/>
      <c r="K97" s="366"/>
      <c r="L97" s="365"/>
      <c r="M97" s="365"/>
    </row>
    <row r="98" spans="1:13" x14ac:dyDescent="0.25">
      <c r="A98" s="365"/>
      <c r="B98" s="364"/>
      <c r="C98" s="365"/>
      <c r="D98" s="366"/>
      <c r="E98" s="366"/>
      <c r="F98" s="366"/>
      <c r="G98" s="366"/>
      <c r="H98" s="367"/>
      <c r="I98" s="366"/>
      <c r="J98" s="366"/>
      <c r="K98" s="366"/>
      <c r="L98" s="365"/>
      <c r="M98" s="365"/>
    </row>
    <row r="99" spans="1:13" x14ac:dyDescent="0.25">
      <c r="A99" s="365"/>
      <c r="B99" s="364"/>
      <c r="C99" s="365"/>
      <c r="D99" s="366"/>
      <c r="E99" s="366"/>
      <c r="F99" s="366"/>
      <c r="G99" s="366"/>
      <c r="H99" s="367"/>
      <c r="I99" s="366"/>
      <c r="J99" s="366"/>
      <c r="K99" s="366"/>
      <c r="L99" s="365"/>
      <c r="M99" s="365"/>
    </row>
    <row r="100" spans="1:13" x14ac:dyDescent="0.25">
      <c r="A100" s="365"/>
      <c r="B100" s="364"/>
      <c r="C100" s="365"/>
      <c r="D100" s="366"/>
      <c r="E100" s="366"/>
      <c r="F100" s="366"/>
      <c r="G100" s="366"/>
      <c r="H100" s="367"/>
      <c r="I100" s="366"/>
      <c r="J100" s="366"/>
      <c r="K100" s="366"/>
      <c r="L100" s="365"/>
      <c r="M100" s="365"/>
    </row>
    <row r="101" spans="1:13" x14ac:dyDescent="0.25">
      <c r="A101" s="365"/>
      <c r="B101" s="364"/>
      <c r="C101" s="365"/>
      <c r="D101" s="366"/>
      <c r="E101" s="366"/>
      <c r="F101" s="366"/>
      <c r="G101" s="366"/>
      <c r="H101" s="367"/>
      <c r="I101" s="366"/>
      <c r="J101" s="366"/>
      <c r="K101" s="366"/>
      <c r="L101" s="365"/>
      <c r="M101" s="365"/>
    </row>
    <row r="102" spans="1:13" x14ac:dyDescent="0.25">
      <c r="A102" s="365"/>
      <c r="B102" s="364"/>
      <c r="C102" s="365"/>
      <c r="D102" s="366"/>
      <c r="E102" s="366"/>
      <c r="F102" s="366"/>
      <c r="G102" s="366"/>
      <c r="H102" s="367"/>
      <c r="I102" s="366"/>
      <c r="J102" s="366"/>
      <c r="K102" s="366"/>
      <c r="L102" s="365"/>
      <c r="M102" s="365"/>
    </row>
    <row r="103" spans="1:13" x14ac:dyDescent="0.25">
      <c r="A103" s="365"/>
      <c r="B103" s="364"/>
      <c r="C103" s="365"/>
      <c r="D103" s="366"/>
      <c r="E103" s="366"/>
      <c r="F103" s="366"/>
      <c r="G103" s="366"/>
      <c r="H103" s="367"/>
      <c r="I103" s="366"/>
      <c r="J103" s="366"/>
      <c r="K103" s="366"/>
      <c r="L103" s="365"/>
      <c r="M103" s="365"/>
    </row>
    <row r="104" spans="1:13" x14ac:dyDescent="0.25">
      <c r="A104" s="365"/>
      <c r="B104" s="364"/>
      <c r="C104" s="365"/>
      <c r="D104" s="366"/>
      <c r="E104" s="366"/>
      <c r="F104" s="366"/>
      <c r="G104" s="366"/>
      <c r="H104" s="367"/>
      <c r="I104" s="366"/>
      <c r="J104" s="366"/>
      <c r="K104" s="366"/>
      <c r="L104" s="365"/>
      <c r="M104" s="365"/>
    </row>
    <row r="105" spans="1:13" x14ac:dyDescent="0.25">
      <c r="A105" s="365"/>
      <c r="B105" s="364"/>
      <c r="C105" s="365"/>
      <c r="D105" s="366"/>
      <c r="E105" s="366"/>
      <c r="F105" s="366"/>
      <c r="G105" s="366"/>
      <c r="H105" s="367"/>
      <c r="I105" s="366"/>
      <c r="J105" s="366"/>
      <c r="K105" s="366"/>
      <c r="L105" s="365"/>
      <c r="M105" s="365"/>
    </row>
    <row r="106" spans="1:13" x14ac:dyDescent="0.25">
      <c r="A106" s="365"/>
      <c r="B106" s="364"/>
      <c r="C106" s="365"/>
      <c r="D106" s="366"/>
      <c r="E106" s="366"/>
      <c r="F106" s="366"/>
      <c r="G106" s="366"/>
      <c r="H106" s="367"/>
      <c r="I106" s="366"/>
      <c r="J106" s="366"/>
      <c r="K106" s="366"/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6"/>
      <c r="H107" s="367"/>
      <c r="I107" s="366"/>
      <c r="J107" s="366"/>
      <c r="K107" s="366"/>
      <c r="L107" s="365"/>
      <c r="M107" s="365"/>
    </row>
    <row r="108" spans="1:13" x14ac:dyDescent="0.25">
      <c r="A108" s="365"/>
      <c r="B108" s="364"/>
      <c r="C108" s="365"/>
      <c r="D108" s="366"/>
      <c r="E108" s="366"/>
      <c r="F108" s="366"/>
      <c r="G108" s="366"/>
      <c r="H108" s="367"/>
      <c r="I108" s="366"/>
      <c r="J108" s="366"/>
      <c r="K108" s="366"/>
      <c r="L108" s="365"/>
      <c r="M108" s="365"/>
    </row>
    <row r="109" spans="1:13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  <c r="M109" s="365"/>
    </row>
    <row r="110" spans="1:13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  <c r="M110" s="365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02" priority="25">
      <formula>F47&gt;0</formula>
    </cfRule>
    <cfRule type="expression" dxfId="1901" priority="26">
      <formula>F47&lt;0</formula>
    </cfRule>
  </conditionalFormatting>
  <conditionalFormatting sqref="Q7">
    <cfRule type="expression" dxfId="1900" priority="23">
      <formula>Q7&gt;0</formula>
    </cfRule>
    <cfRule type="expression" dxfId="1899" priority="24">
      <formula>Q7&lt;0</formula>
    </cfRule>
  </conditionalFormatting>
  <conditionalFormatting sqref="Q8">
    <cfRule type="expression" dxfId="1898" priority="21">
      <formula>Q8&gt;0</formula>
    </cfRule>
    <cfRule type="expression" dxfId="1897" priority="22">
      <formula>Q8&lt;0</formula>
    </cfRule>
  </conditionalFormatting>
  <conditionalFormatting sqref="F25:F30 F34:F46">
    <cfRule type="expression" dxfId="1896" priority="19">
      <formula>F25&gt;0</formula>
    </cfRule>
    <cfRule type="expression" dxfId="1895" priority="20">
      <formula>F25&lt;0</formula>
    </cfRule>
  </conditionalFormatting>
  <conditionalFormatting sqref="H25:H30 H34:H46">
    <cfRule type="expression" dxfId="1894" priority="17">
      <formula>H25&gt;0</formula>
    </cfRule>
    <cfRule type="expression" dxfId="1893" priority="18">
      <formula>H25&lt;0</formula>
    </cfRule>
  </conditionalFormatting>
  <conditionalFormatting sqref="F89:F110">
    <cfRule type="expression" dxfId="1892" priority="15">
      <formula>F89&gt;0</formula>
    </cfRule>
    <cfRule type="expression" dxfId="1891" priority="16">
      <formula>F89&lt;0</formula>
    </cfRule>
  </conditionalFormatting>
  <conditionalFormatting sqref="H89:H110">
    <cfRule type="expression" dxfId="1890" priority="13">
      <formula>H89&gt;0</formula>
    </cfRule>
    <cfRule type="expression" dxfId="1889" priority="14">
      <formula>H89&lt;0</formula>
    </cfRule>
  </conditionalFormatting>
  <conditionalFormatting sqref="Q10">
    <cfRule type="expression" dxfId="1888" priority="11">
      <formula>Q10&gt;0</formula>
    </cfRule>
    <cfRule type="expression" dxfId="1887" priority="12">
      <formula>Q10&lt;0</formula>
    </cfRule>
  </conditionalFormatting>
  <conditionalFormatting sqref="J25:J38">
    <cfRule type="expression" dxfId="1886" priority="9">
      <formula>J25&gt;0</formula>
    </cfRule>
    <cfRule type="expression" dxfId="1885" priority="10">
      <formula>J25&lt;0</formula>
    </cfRule>
  </conditionalFormatting>
  <conditionalFormatting sqref="K25:K38">
    <cfRule type="expression" dxfId="1884" priority="7">
      <formula>K25&gt;0</formula>
    </cfRule>
    <cfRule type="expression" dxfId="1883" priority="8">
      <formula>K25&lt;0</formula>
    </cfRule>
  </conditionalFormatting>
  <conditionalFormatting sqref="L25:L38">
    <cfRule type="expression" dxfId="1882" priority="5">
      <formula>L25&gt;0</formula>
    </cfRule>
    <cfRule type="expression" dxfId="188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80" priority="3">
      <formula>F31&gt;0</formula>
    </cfRule>
    <cfRule type="expression" dxfId="1879" priority="4">
      <formula>F31&lt;0</formula>
    </cfRule>
  </conditionalFormatting>
  <conditionalFormatting sqref="H31:H33">
    <cfRule type="expression" dxfId="1878" priority="1">
      <formula>H31&gt;0</formula>
    </cfRule>
    <cfRule type="expression" dxfId="187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77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52.712499999999999</v>
      </c>
      <c r="T3" s="1">
        <v>43160</v>
      </c>
      <c r="U3" t="s">
        <v>1020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49</v>
      </c>
      <c r="R4" s="498">
        <v>-3.8999999999999998E-3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4900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-371.25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-371.25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-7.0429215081811714E-2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>
        <v>43228</v>
      </c>
    </row>
    <row r="13" spans="1:21" x14ac:dyDescent="0.25">
      <c r="H13" s="70"/>
      <c r="O13" s="11" t="s">
        <v>997</v>
      </c>
      <c r="Q13">
        <f>Q4/2.75</f>
        <v>17.818181818181817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2" t="s">
        <v>78</v>
      </c>
      <c r="P22" s="812"/>
    </row>
    <row r="23" spans="1:17" ht="15.75" thickTop="1" x14ac:dyDescent="0.25">
      <c r="O23" s="81">
        <v>1.1000000000000001</v>
      </c>
      <c r="P23" s="81">
        <f>O23*$Q$4</f>
        <v>53.900000000000006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997</v>
      </c>
      <c r="L24" s="223"/>
      <c r="O24" s="81">
        <v>1.0900000000000001</v>
      </c>
      <c r="P24" s="81">
        <f t="shared" ref="P24:P43" si="1">O24*$Q$4</f>
        <v>53.410000000000004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52.92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52.43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51.940000000000005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5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51.45</v>
      </c>
      <c r="Q28" s="2"/>
    </row>
    <row r="29" spans="1:17" x14ac:dyDescent="0.25">
      <c r="A29">
        <v>0</v>
      </c>
      <c r="B29" s="187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5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50.96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50.47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49.980000000000004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49.49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49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48.51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48.019999999999996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47.53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47.04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46.55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46.059999999999995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45.57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45.080000000000005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44.59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44.1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6" priority="31">
      <formula>F47&gt;0</formula>
    </cfRule>
    <cfRule type="expression" dxfId="1875" priority="32">
      <formula>F47&lt;0</formula>
    </cfRule>
  </conditionalFormatting>
  <conditionalFormatting sqref="Q7">
    <cfRule type="expression" dxfId="1874" priority="29">
      <formula>Q7&gt;0</formula>
    </cfRule>
    <cfRule type="expression" dxfId="1873" priority="30">
      <formula>Q7&lt;0</formula>
    </cfRule>
  </conditionalFormatting>
  <conditionalFormatting sqref="Q8">
    <cfRule type="expression" dxfId="1872" priority="27">
      <formula>Q8&gt;0</formula>
    </cfRule>
    <cfRule type="expression" dxfId="1871" priority="28">
      <formula>Q8&lt;0</formula>
    </cfRule>
  </conditionalFormatting>
  <conditionalFormatting sqref="F30:F46">
    <cfRule type="expression" dxfId="1870" priority="25">
      <formula>F30&gt;0</formula>
    </cfRule>
    <cfRule type="expression" dxfId="1869" priority="26">
      <formula>F30&lt;0</formula>
    </cfRule>
  </conditionalFormatting>
  <conditionalFormatting sqref="H30:H46">
    <cfRule type="expression" dxfId="1868" priority="23">
      <formula>H30&gt;0</formula>
    </cfRule>
    <cfRule type="expression" dxfId="1867" priority="24">
      <formula>H30&lt;0</formula>
    </cfRule>
  </conditionalFormatting>
  <conditionalFormatting sqref="Q10">
    <cfRule type="expression" dxfId="1866" priority="21">
      <formula>Q10&gt;0</formula>
    </cfRule>
    <cfRule type="expression" dxfId="1865" priority="22">
      <formula>Q10&lt;0</formula>
    </cfRule>
  </conditionalFormatting>
  <conditionalFormatting sqref="J25:J38">
    <cfRule type="expression" dxfId="1864" priority="19">
      <formula>J25&gt;0</formula>
    </cfRule>
    <cfRule type="expression" dxfId="1863" priority="20">
      <formula>J25&lt;0</formula>
    </cfRule>
  </conditionalFormatting>
  <conditionalFormatting sqref="K35:K38">
    <cfRule type="expression" dxfId="1862" priority="17">
      <formula>K35&gt;0</formula>
    </cfRule>
    <cfRule type="expression" dxfId="1861" priority="18">
      <formula>K35&lt;0</formula>
    </cfRule>
  </conditionalFormatting>
  <conditionalFormatting sqref="L25:L38">
    <cfRule type="expression" dxfId="1860" priority="15">
      <formula>L25&gt;0</formula>
    </cfRule>
    <cfRule type="expression" dxfId="1859" priority="16">
      <formula>L25&lt;0</formula>
    </cfRule>
  </conditionalFormatting>
  <conditionalFormatting sqref="F89:F110">
    <cfRule type="expression" dxfId="1858" priority="13">
      <formula>F89&gt;0</formula>
    </cfRule>
    <cfRule type="expression" dxfId="1857" priority="14">
      <formula>F89&lt;0</formula>
    </cfRule>
  </conditionalFormatting>
  <conditionalFormatting sqref="H89:H110">
    <cfRule type="expression" dxfId="1856" priority="11">
      <formula>H89&gt;0</formula>
    </cfRule>
    <cfRule type="expression" dxfId="1855" priority="12">
      <formula>H89&lt;0</formula>
    </cfRule>
  </conditionalFormatting>
  <conditionalFormatting sqref="J89:J102">
    <cfRule type="expression" dxfId="1854" priority="9">
      <formula>J89&gt;0</formula>
    </cfRule>
    <cfRule type="expression" dxfId="1853" priority="10">
      <formula>J89&lt;0</formula>
    </cfRule>
  </conditionalFormatting>
  <conditionalFormatting sqref="K89:K102">
    <cfRule type="expression" dxfId="1852" priority="7">
      <formula>K89&gt;0</formula>
    </cfRule>
    <cfRule type="expression" dxfId="1851" priority="8">
      <formula>K89&lt;0</formula>
    </cfRule>
  </conditionalFormatting>
  <conditionalFormatting sqref="L89:L102">
    <cfRule type="expression" dxfId="1850" priority="5">
      <formula>L89&gt;0</formula>
    </cfRule>
    <cfRule type="expression" dxfId="1849" priority="6">
      <formula>L89&lt;0</formula>
    </cfRule>
  </conditionalFormatting>
  <conditionalFormatting sqref="F25:F29">
    <cfRule type="expression" dxfId="1848" priority="3">
      <formula>F25&gt;0</formula>
    </cfRule>
    <cfRule type="expression" dxfId="1847" priority="4">
      <formula>F25&lt;0</formula>
    </cfRule>
  </conditionalFormatting>
  <conditionalFormatting sqref="H25:H29">
    <cfRule type="expression" dxfId="1846" priority="1">
      <formula>H25&gt;0</formula>
    </cfRule>
    <cfRule type="expression" dxfId="184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5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 t="s">
        <v>801</v>
      </c>
    </row>
    <row r="2" spans="1:28" x14ac:dyDescent="0.25">
      <c r="A2" s="6" t="s">
        <v>196</v>
      </c>
      <c r="B2" s="479">
        <v>42718</v>
      </c>
      <c r="C2" s="4">
        <v>200</v>
      </c>
      <c r="D2" s="234">
        <v>34.78</v>
      </c>
      <c r="E2" s="3">
        <v>0</v>
      </c>
      <c r="F2" s="3">
        <f t="shared" ref="F2:F36" si="0">D2*C2+E2</f>
        <v>6956</v>
      </c>
      <c r="G2" s="479">
        <v>42782</v>
      </c>
      <c r="H2" s="7">
        <v>200</v>
      </c>
      <c r="I2" s="43">
        <v>34.200000000000003</v>
      </c>
      <c r="J2" s="43">
        <v>0.15</v>
      </c>
      <c r="K2" s="43">
        <f t="shared" ref="K2:K2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8">
        <f>C41-H41</f>
        <v>3000</v>
      </c>
      <c r="T2" s="826" t="s">
        <v>351</v>
      </c>
      <c r="W2" s="134"/>
      <c r="AB2" s="134"/>
    </row>
    <row r="3" spans="1:28" x14ac:dyDescent="0.25">
      <c r="A3" s="22" t="s">
        <v>71</v>
      </c>
      <c r="B3" s="479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37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9">
        <f>IF(Q2=0, Q4, (F41-K41-M41)/Q2)</f>
        <v>27.064869999999996</v>
      </c>
      <c r="T3" s="83" t="s">
        <v>465</v>
      </c>
      <c r="W3" s="134"/>
      <c r="AB3" s="134"/>
    </row>
    <row r="4" spans="1:28" x14ac:dyDescent="0.25">
      <c r="B4" s="47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7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1">
        <v>23.729900000000001</v>
      </c>
      <c r="R4" s="225">
        <v>5.4999999999999997E-3</v>
      </c>
      <c r="T4" s="118"/>
      <c r="W4" s="134"/>
      <c r="AB4" s="134"/>
    </row>
    <row r="5" spans="1:28" x14ac:dyDescent="0.25">
      <c r="B5" s="47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7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71189.7</v>
      </c>
      <c r="W5" s="134"/>
    </row>
    <row r="6" spans="1:28" x14ac:dyDescent="0.25">
      <c r="B6" s="47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37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81194.609999999986</v>
      </c>
      <c r="T6" s="825" t="s">
        <v>523</v>
      </c>
      <c r="W6" s="134"/>
    </row>
    <row r="7" spans="1:28" x14ac:dyDescent="0.25">
      <c r="B7" s="479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37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-8256.9399999999951</v>
      </c>
      <c r="R7">
        <v>1500</v>
      </c>
      <c r="W7" s="134"/>
    </row>
    <row r="8" spans="1:28" x14ac:dyDescent="0.25">
      <c r="B8" s="479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37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-10004.909999999989</v>
      </c>
      <c r="T8" s="827">
        <v>43095</v>
      </c>
      <c r="U8" t="s">
        <v>802</v>
      </c>
      <c r="W8" s="134"/>
    </row>
    <row r="9" spans="1:28" x14ac:dyDescent="0.25">
      <c r="B9" s="479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37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-0.1232213566885781</v>
      </c>
      <c r="T9" s="827"/>
      <c r="U9" t="s">
        <v>808</v>
      </c>
      <c r="W9" s="134"/>
    </row>
    <row r="10" spans="1:28" x14ac:dyDescent="0.25">
      <c r="B10" s="479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37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T10" s="827"/>
      <c r="W10" s="134"/>
    </row>
    <row r="11" spans="1:28" x14ac:dyDescent="0.25">
      <c r="B11" s="479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37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2.1070463845191088E-2</v>
      </c>
      <c r="R11">
        <f>0.125</f>
        <v>0.125</v>
      </c>
      <c r="T11" s="827">
        <v>43102</v>
      </c>
      <c r="U11" t="s">
        <v>866</v>
      </c>
      <c r="W11" s="134"/>
    </row>
    <row r="12" spans="1:28" x14ac:dyDescent="0.25">
      <c r="B12" s="479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37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968</v>
      </c>
      <c r="Q12" s="1" t="s">
        <v>1037</v>
      </c>
      <c r="T12" s="827"/>
      <c r="U12" t="s">
        <v>853</v>
      </c>
      <c r="W12" s="134"/>
    </row>
    <row r="13" spans="1:28" x14ac:dyDescent="0.25">
      <c r="B13" s="47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37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1001</v>
      </c>
      <c r="Q13" s="2">
        <f>Q4/(1.95+2.15)*2</f>
        <v>11.575560975609758</v>
      </c>
      <c r="T13" s="827"/>
      <c r="W13" s="134"/>
    </row>
    <row r="14" spans="1:28" x14ac:dyDescent="0.25">
      <c r="B14" s="479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37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8"/>
      <c r="T14" s="827">
        <v>43104</v>
      </c>
      <c r="U14" t="s">
        <v>864</v>
      </c>
      <c r="W14" s="134"/>
    </row>
    <row r="15" spans="1:28" x14ac:dyDescent="0.25">
      <c r="B15" s="479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37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9"/>
      <c r="T15" s="827"/>
      <c r="U15" t="s">
        <v>865</v>
      </c>
      <c r="W15" s="134"/>
    </row>
    <row r="16" spans="1:28" x14ac:dyDescent="0.25">
      <c r="B16" s="47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37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9"/>
      <c r="T16" s="827">
        <v>43105</v>
      </c>
      <c r="U16" t="s">
        <v>870</v>
      </c>
      <c r="W16" s="134"/>
    </row>
    <row r="17" spans="2:23" x14ac:dyDescent="0.25">
      <c r="B17" s="47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37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9"/>
      <c r="T17" s="827"/>
      <c r="W17" s="134"/>
    </row>
    <row r="18" spans="2:23" x14ac:dyDescent="0.25">
      <c r="B18" s="47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37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9"/>
      <c r="T18" s="827">
        <v>43112</v>
      </c>
      <c r="U18" t="s">
        <v>878</v>
      </c>
      <c r="W18" s="134"/>
    </row>
    <row r="19" spans="2:23" x14ac:dyDescent="0.25">
      <c r="B19" s="47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37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9"/>
      <c r="T19" s="827"/>
      <c r="U19" t="s">
        <v>879</v>
      </c>
      <c r="W19" s="134"/>
    </row>
    <row r="20" spans="2:23" x14ac:dyDescent="0.25">
      <c r="B20" s="47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37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9"/>
      <c r="T20" s="827"/>
      <c r="W20" s="134"/>
    </row>
    <row r="21" spans="2:23" x14ac:dyDescent="0.25">
      <c r="B21" s="47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37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7">
        <v>43126</v>
      </c>
      <c r="U21" t="s">
        <v>932</v>
      </c>
      <c r="W21" s="134"/>
    </row>
    <row r="22" spans="2:23" ht="20.25" thickBot="1" x14ac:dyDescent="0.35">
      <c r="B22" s="47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0"/>
      <c r="H22" s="179"/>
      <c r="I22" s="3"/>
      <c r="J22" s="3"/>
      <c r="K22" s="3"/>
      <c r="O22" s="847" t="s">
        <v>78</v>
      </c>
      <c r="P22" s="847"/>
      <c r="T22" s="827"/>
      <c r="U22" t="s">
        <v>933</v>
      </c>
      <c r="W22" s="134"/>
    </row>
    <row r="23" spans="2:23" ht="15.75" thickTop="1" x14ac:dyDescent="0.25">
      <c r="B23" s="47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26.102890000000002</v>
      </c>
      <c r="Q23" s="2"/>
      <c r="T23" s="827"/>
      <c r="W23" s="134"/>
    </row>
    <row r="24" spans="2:23" x14ac:dyDescent="0.25">
      <c r="B24" s="47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25.865591000000002</v>
      </c>
      <c r="Q24" s="2"/>
      <c r="T24" s="828">
        <v>43153</v>
      </c>
      <c r="U24" t="s">
        <v>972</v>
      </c>
      <c r="W24" s="134"/>
    </row>
    <row r="25" spans="2:23" x14ac:dyDescent="0.25">
      <c r="B25" s="47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25.628292000000002</v>
      </c>
      <c r="Q25" s="2"/>
      <c r="T25" s="828"/>
      <c r="W25" s="134"/>
    </row>
    <row r="26" spans="2:23" x14ac:dyDescent="0.25">
      <c r="B26" s="479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25.390993000000002</v>
      </c>
      <c r="Q26" s="2"/>
      <c r="T26" s="828">
        <v>43161</v>
      </c>
      <c r="U26" t="s">
        <v>971</v>
      </c>
      <c r="W26" s="134"/>
    </row>
    <row r="27" spans="2:23" x14ac:dyDescent="0.25">
      <c r="B27" s="437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25.153694000000002</v>
      </c>
      <c r="Q27" s="2"/>
      <c r="T27" s="828"/>
      <c r="W27" s="134"/>
    </row>
    <row r="28" spans="2:23" x14ac:dyDescent="0.25">
      <c r="B28" s="437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24.916395000000001</v>
      </c>
      <c r="Q28" s="2"/>
      <c r="T28" s="828">
        <v>43167</v>
      </c>
      <c r="U28" t="s">
        <v>1000</v>
      </c>
      <c r="W28" s="134"/>
    </row>
    <row r="29" spans="2:23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24.679096000000001</v>
      </c>
      <c r="Q29" s="2"/>
      <c r="T29" s="827"/>
      <c r="W29" s="134"/>
    </row>
    <row r="30" spans="2:23" x14ac:dyDescent="0.25">
      <c r="B30" s="7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24.441797000000001</v>
      </c>
      <c r="Q30" s="2"/>
      <c r="T30" s="827">
        <v>43196</v>
      </c>
      <c r="U30" t="s">
        <v>993</v>
      </c>
      <c r="W30" s="134"/>
    </row>
    <row r="31" spans="2:23" x14ac:dyDescent="0.25">
      <c r="B31" s="72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24.204498000000001</v>
      </c>
      <c r="Q31" s="2"/>
      <c r="U31" t="s">
        <v>1016</v>
      </c>
      <c r="W31" s="134"/>
    </row>
    <row r="32" spans="2:23" x14ac:dyDescent="0.25">
      <c r="B32" s="72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23.967199000000001</v>
      </c>
      <c r="Q32" s="2"/>
      <c r="T32" s="83">
        <v>43200</v>
      </c>
      <c r="U32" t="s">
        <v>1039</v>
      </c>
      <c r="W32" s="134"/>
    </row>
    <row r="33" spans="1:23" x14ac:dyDescent="0.25">
      <c r="B33" s="7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23.729900000000001</v>
      </c>
      <c r="Q33" s="2"/>
      <c r="T33" s="83">
        <v>43203</v>
      </c>
      <c r="U33" t="s">
        <v>1038</v>
      </c>
      <c r="W33" s="134"/>
    </row>
    <row r="34" spans="1:23" x14ac:dyDescent="0.25">
      <c r="B34" s="477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23.492601000000001</v>
      </c>
      <c r="Q34" s="2"/>
      <c r="W34" s="134"/>
    </row>
    <row r="35" spans="1:23" x14ac:dyDescent="0.25">
      <c r="B35" s="477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23.255302</v>
      </c>
      <c r="Q35" s="2"/>
      <c r="W35" s="134"/>
    </row>
    <row r="36" spans="1:23" x14ac:dyDescent="0.25">
      <c r="C36" s="7">
        <v>500</v>
      </c>
      <c r="D36" s="3">
        <v>23.48</v>
      </c>
      <c r="E36" s="3">
        <v>0</v>
      </c>
      <c r="F36" s="3">
        <f t="shared" si="0"/>
        <v>11740</v>
      </c>
      <c r="G36" s="4"/>
      <c r="O36" s="81">
        <v>0.97</v>
      </c>
      <c r="P36" s="81">
        <f t="shared" si="2"/>
        <v>23.018003</v>
      </c>
      <c r="W36" s="134"/>
    </row>
    <row r="37" spans="1:23" x14ac:dyDescent="0.25">
      <c r="C37" s="4"/>
      <c r="D37" s="3"/>
      <c r="E37" s="3"/>
      <c r="F37" s="3"/>
      <c r="G37" s="4"/>
      <c r="O37" s="81">
        <v>0.96</v>
      </c>
      <c r="P37" s="81">
        <f t="shared" si="2"/>
        <v>22.780704</v>
      </c>
      <c r="W37" s="134"/>
    </row>
    <row r="38" spans="1:23" x14ac:dyDescent="0.25">
      <c r="O38" s="81">
        <v>0.95</v>
      </c>
      <c r="P38" s="81">
        <f t="shared" si="2"/>
        <v>22.543405</v>
      </c>
      <c r="W38" s="134"/>
    </row>
    <row r="39" spans="1:23" x14ac:dyDescent="0.25">
      <c r="O39" s="81">
        <v>0.94</v>
      </c>
      <c r="P39" s="81">
        <f t="shared" si="2"/>
        <v>22.306106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22.068807000000003</v>
      </c>
      <c r="W40" s="134"/>
    </row>
    <row r="41" spans="1:23" x14ac:dyDescent="0.25">
      <c r="A41" s="31" t="s">
        <v>81</v>
      </c>
      <c r="B41" s="14"/>
      <c r="C41" s="14">
        <f>SUM(C2:C36)</f>
        <v>8300</v>
      </c>
      <c r="D41" s="18"/>
      <c r="E41" s="18"/>
      <c r="F41" s="18">
        <f>SUM(F2:F40)</f>
        <v>217716.06999999998</v>
      </c>
      <c r="G41" s="14"/>
      <c r="H41" s="14">
        <f>SUM(H2:H40)</f>
        <v>5300</v>
      </c>
      <c r="I41" s="18"/>
      <c r="J41" s="18"/>
      <c r="K41" s="18">
        <f>SUM(K2:K40)</f>
        <v>135553.06</v>
      </c>
      <c r="L41" s="14"/>
      <c r="M41" s="18">
        <f>SUM(M2:M40)</f>
        <v>968.4</v>
      </c>
      <c r="O41" s="81">
        <v>0.92</v>
      </c>
      <c r="P41" s="81">
        <f t="shared" si="2"/>
        <v>21.831508000000003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5800</v>
      </c>
      <c r="D42" s="346"/>
      <c r="E42" s="346"/>
      <c r="F42" s="347">
        <f>SumByColor($A$42,F2:F40)</f>
        <v>133316</v>
      </c>
      <c r="G42" s="347"/>
      <c r="H42" s="753">
        <f>SumByColor($A$42,H2:H40)</f>
        <v>5300</v>
      </c>
      <c r="I42" s="346"/>
      <c r="J42" s="346"/>
      <c r="K42" s="347">
        <f>SumByColor($A$42,K2:K40)</f>
        <v>135555</v>
      </c>
      <c r="L42" s="346"/>
      <c r="M42" s="347">
        <f>SumByColor($A$42,M2:M40)</f>
        <v>969</v>
      </c>
      <c r="O42" s="81">
        <v>0.91</v>
      </c>
      <c r="P42" s="81">
        <f t="shared" si="2"/>
        <v>21.594209000000003</v>
      </c>
      <c r="W42" s="134"/>
    </row>
    <row r="43" spans="1:23" x14ac:dyDescent="0.25">
      <c r="O43" s="81">
        <v>0.9</v>
      </c>
      <c r="P43" s="81">
        <f t="shared" si="2"/>
        <v>21.356910000000003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504</v>
      </c>
      <c r="K47" s="223" t="s">
        <v>150</v>
      </c>
      <c r="L47" s="223" t="s">
        <v>742</v>
      </c>
      <c r="W47" s="134"/>
    </row>
    <row r="48" spans="1:23" x14ac:dyDescent="0.25">
      <c r="A48" t="s">
        <v>339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5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681</v>
      </c>
      <c r="S48" s="22" t="s">
        <v>680</v>
      </c>
      <c r="W48" s="134"/>
    </row>
    <row r="49" spans="1:23" x14ac:dyDescent="0.25">
      <c r="A49" t="s">
        <v>339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5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370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5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396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5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412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5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371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5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436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5">
        <f t="shared" si="5"/>
        <v>2.7209959849797166E-3</v>
      </c>
      <c r="I54" s="39" t="s">
        <v>444</v>
      </c>
      <c r="J54" s="39"/>
      <c r="K54" s="39"/>
      <c r="L54" s="39"/>
    </row>
    <row r="55" spans="1:23" x14ac:dyDescent="0.25">
      <c r="A55" t="s">
        <v>340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5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468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5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473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5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5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5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5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5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5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5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5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5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5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5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5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5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5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5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5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5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5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5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5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5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5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5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5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5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5">
        <f t="shared" ref="H83" si="86">(E83-D83)/D83</f>
        <v>-0.11797313160297374</v>
      </c>
      <c r="I83" s="196" t="s">
        <v>791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5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5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5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5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5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68">
        <v>1500</v>
      </c>
      <c r="D89" s="470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5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5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5">
        <f t="shared" ref="H91" si="110">(E91-D91)/D91</f>
        <v>-0.1165723524656427</v>
      </c>
      <c r="I91" s="39"/>
      <c r="J91" s="39"/>
      <c r="K91" s="39">
        <v>-2938</v>
      </c>
      <c r="L91" s="39"/>
      <c r="M91" t="s">
        <v>867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5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5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5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5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5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5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5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5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5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68">
        <v>1500</v>
      </c>
      <c r="D101" s="470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5">
        <f t="shared" ref="H101" si="137">(E101-D101)/D101</f>
        <v>-3.6548123337602191E-2</v>
      </c>
      <c r="I101" s="196" t="s">
        <v>941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5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5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5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5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5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5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5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5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5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5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5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5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4">C114*(E114-D114)</f>
        <v>-9250.0000000000073</v>
      </c>
      <c r="G114" s="39">
        <f t="shared" ref="G114" si="175">D114*C114</f>
        <v>69450</v>
      </c>
      <c r="H114" s="225">
        <f t="shared" ref="H114" si="176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7">C115*(E115-D115)</f>
        <v>-10025.000000000004</v>
      </c>
      <c r="G115" s="39">
        <f t="shared" ref="G115" si="178">D115*C115</f>
        <v>69450</v>
      </c>
      <c r="H115" s="225">
        <f t="shared" ref="H115" si="179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1:12" x14ac:dyDescent="0.25">
      <c r="B120" s="364">
        <v>42484</v>
      </c>
      <c r="C120" s="365">
        <v>100</v>
      </c>
      <c r="D120" s="366">
        <v>35.917999999999999</v>
      </c>
      <c r="E120" s="366">
        <v>35.58</v>
      </c>
      <c r="F120" s="366">
        <f t="shared" ref="F120:F133" si="180">C120*(E120-D120)</f>
        <v>-33.800000000000097</v>
      </c>
      <c r="G120" s="366">
        <f t="shared" ref="G120:G133" si="181">D120*C120</f>
        <v>3591.7999999999997</v>
      </c>
      <c r="H120" s="367">
        <f t="shared" ref="H120:H133" si="182">(E120-D120)/D120</f>
        <v>-9.410323514672336E-3</v>
      </c>
      <c r="I120" s="366"/>
    </row>
    <row r="121" spans="1:12" x14ac:dyDescent="0.25">
      <c r="B121" s="364">
        <v>42485</v>
      </c>
      <c r="C121" s="365">
        <v>100</v>
      </c>
      <c r="D121" s="366">
        <v>35.917999999999999</v>
      </c>
      <c r="E121" s="366">
        <v>36.770000000000003</v>
      </c>
      <c r="F121" s="366">
        <f t="shared" si="180"/>
        <v>85.200000000000387</v>
      </c>
      <c r="G121" s="366">
        <f t="shared" si="181"/>
        <v>3591.7999999999997</v>
      </c>
      <c r="H121" s="367">
        <f t="shared" si="182"/>
        <v>2.3720697143493622E-2</v>
      </c>
      <c r="I121" s="366"/>
    </row>
    <row r="122" spans="1:12" x14ac:dyDescent="0.25">
      <c r="B122" s="364">
        <v>42498</v>
      </c>
      <c r="C122" s="365">
        <v>100</v>
      </c>
      <c r="D122" s="366">
        <v>35.917999999999999</v>
      </c>
      <c r="E122" s="366">
        <v>34.549999999999997</v>
      </c>
      <c r="F122" s="366">
        <f t="shared" si="180"/>
        <v>-136.80000000000021</v>
      </c>
      <c r="G122" s="366">
        <f t="shared" si="181"/>
        <v>3591.7999999999997</v>
      </c>
      <c r="H122" s="367">
        <f t="shared" si="182"/>
        <v>-3.8086753159975562E-2</v>
      </c>
      <c r="I122" s="366"/>
    </row>
    <row r="123" spans="1:12" x14ac:dyDescent="0.25">
      <c r="B123" s="364">
        <v>42508</v>
      </c>
      <c r="C123" s="365">
        <v>140</v>
      </c>
      <c r="D123" s="366">
        <v>35.423999999999999</v>
      </c>
      <c r="E123" s="366">
        <v>34.369999999999997</v>
      </c>
      <c r="F123" s="366">
        <f t="shared" si="180"/>
        <v>-147.56000000000029</v>
      </c>
      <c r="G123" s="366">
        <f t="shared" si="181"/>
        <v>4959.3599999999997</v>
      </c>
      <c r="H123" s="367">
        <f t="shared" si="182"/>
        <v>-2.9753839205058776E-2</v>
      </c>
      <c r="I123" s="366"/>
    </row>
    <row r="124" spans="1:12" x14ac:dyDescent="0.25">
      <c r="B124" s="364">
        <v>42509</v>
      </c>
      <c r="C124" s="365">
        <v>240</v>
      </c>
      <c r="D124" s="366">
        <v>35.034999999999997</v>
      </c>
      <c r="E124" s="366">
        <v>34.83</v>
      </c>
      <c r="F124" s="366">
        <f t="shared" si="180"/>
        <v>-49.199999999999591</v>
      </c>
      <c r="G124" s="366">
        <f t="shared" si="181"/>
        <v>8408.4</v>
      </c>
      <c r="H124" s="367">
        <f t="shared" si="182"/>
        <v>-5.8512915655772315E-3</v>
      </c>
      <c r="I124" s="366"/>
    </row>
    <row r="125" spans="1:12" x14ac:dyDescent="0.25">
      <c r="B125" s="364">
        <v>42514</v>
      </c>
      <c r="C125" s="365">
        <v>200</v>
      </c>
      <c r="D125" s="366">
        <v>34.972000000000001</v>
      </c>
      <c r="E125" s="366">
        <v>35.520000000000003</v>
      </c>
      <c r="F125" s="366">
        <f t="shared" si="180"/>
        <v>109.60000000000036</v>
      </c>
      <c r="G125" s="366">
        <f t="shared" si="181"/>
        <v>6994.4000000000005</v>
      </c>
      <c r="H125" s="367">
        <f t="shared" si="182"/>
        <v>1.5669678600022927E-2</v>
      </c>
      <c r="I125" s="366"/>
    </row>
    <row r="126" spans="1:12" x14ac:dyDescent="0.25">
      <c r="B126" s="364">
        <v>42515</v>
      </c>
      <c r="C126" s="365">
        <v>200</v>
      </c>
      <c r="D126" s="366">
        <v>34.972000000000001</v>
      </c>
      <c r="E126" s="366">
        <v>34.94</v>
      </c>
      <c r="F126" s="366">
        <f t="shared" si="180"/>
        <v>-6.4000000000007162</v>
      </c>
      <c r="G126" s="366">
        <f t="shared" si="181"/>
        <v>6994.4000000000005</v>
      </c>
      <c r="H126" s="367">
        <f t="shared" si="182"/>
        <v>-9.150177284685914E-4</v>
      </c>
      <c r="I126" s="366"/>
    </row>
    <row r="127" spans="1:12" x14ac:dyDescent="0.25">
      <c r="B127" s="364">
        <v>42521</v>
      </c>
      <c r="C127" s="365">
        <v>160</v>
      </c>
      <c r="D127" s="366">
        <v>34.718000000000004</v>
      </c>
      <c r="E127" s="366">
        <v>35.76</v>
      </c>
      <c r="F127" s="366">
        <f t="shared" si="180"/>
        <v>166.71999999999912</v>
      </c>
      <c r="G127" s="366">
        <f t="shared" si="181"/>
        <v>5554.880000000001</v>
      </c>
      <c r="H127" s="367">
        <f t="shared" si="182"/>
        <v>3.0013249611152554E-2</v>
      </c>
      <c r="I127" s="366"/>
    </row>
    <row r="128" spans="1:12" x14ac:dyDescent="0.25">
      <c r="B128" s="364">
        <v>42527</v>
      </c>
      <c r="C128" s="365">
        <v>160</v>
      </c>
      <c r="D128" s="366">
        <v>34.652000000000001</v>
      </c>
      <c r="E128" s="366">
        <v>36.020000000000003</v>
      </c>
      <c r="F128" s="366">
        <f t="shared" si="180"/>
        <v>218.88000000000034</v>
      </c>
      <c r="G128" s="366">
        <f t="shared" si="181"/>
        <v>5544.32</v>
      </c>
      <c r="H128" s="367">
        <f t="shared" si="182"/>
        <v>3.9478240794182211E-2</v>
      </c>
      <c r="I128" s="366"/>
    </row>
    <row r="129" spans="2:9" x14ac:dyDescent="0.25">
      <c r="B129" s="364">
        <v>42498</v>
      </c>
      <c r="C129" s="365">
        <v>160</v>
      </c>
      <c r="D129" s="366">
        <v>34.652000000000001</v>
      </c>
      <c r="E129" s="366">
        <v>36.520000000000003</v>
      </c>
      <c r="F129" s="366">
        <f t="shared" si="180"/>
        <v>298.88000000000034</v>
      </c>
      <c r="G129" s="366">
        <f t="shared" si="181"/>
        <v>5544.32</v>
      </c>
      <c r="H129" s="367">
        <f t="shared" si="182"/>
        <v>5.3907422371003176E-2</v>
      </c>
      <c r="I129" s="366"/>
    </row>
    <row r="130" spans="2:9" x14ac:dyDescent="0.25">
      <c r="B130" s="364">
        <v>42531</v>
      </c>
      <c r="C130" s="365">
        <v>60</v>
      </c>
      <c r="D130" s="366">
        <v>30.757000000000001</v>
      </c>
      <c r="E130" s="366">
        <v>36.81</v>
      </c>
      <c r="F130" s="366">
        <f t="shared" si="180"/>
        <v>363.18000000000006</v>
      </c>
      <c r="G130" s="366">
        <f t="shared" si="181"/>
        <v>1845.42</v>
      </c>
      <c r="H130" s="367">
        <f t="shared" si="182"/>
        <v>0.1968007282894951</v>
      </c>
      <c r="I130" s="366"/>
    </row>
    <row r="131" spans="2:9" x14ac:dyDescent="0.25">
      <c r="B131" s="364">
        <v>42536</v>
      </c>
      <c r="C131" s="365">
        <v>160</v>
      </c>
      <c r="D131" s="366">
        <v>33.652999999999999</v>
      </c>
      <c r="E131" s="366">
        <v>35.71</v>
      </c>
      <c r="F131" s="366">
        <f t="shared" si="180"/>
        <v>329.12000000000035</v>
      </c>
      <c r="G131" s="366">
        <f t="shared" si="181"/>
        <v>5384.48</v>
      </c>
      <c r="H131" s="367">
        <f t="shared" si="182"/>
        <v>6.1123822541823976E-2</v>
      </c>
      <c r="I131" s="366"/>
    </row>
    <row r="132" spans="2:9" x14ac:dyDescent="0.25">
      <c r="B132" s="364">
        <v>42542</v>
      </c>
      <c r="C132" s="365">
        <v>160</v>
      </c>
      <c r="D132" s="366">
        <v>33.65</v>
      </c>
      <c r="E132" s="366">
        <v>34.71</v>
      </c>
      <c r="F132" s="366">
        <f t="shared" si="180"/>
        <v>169.60000000000036</v>
      </c>
      <c r="G132" s="366">
        <f t="shared" si="181"/>
        <v>5384</v>
      </c>
      <c r="H132" s="367">
        <f t="shared" si="182"/>
        <v>3.1500742942050589E-2</v>
      </c>
      <c r="I132" s="366"/>
    </row>
    <row r="133" spans="2:9" x14ac:dyDescent="0.25">
      <c r="B133" s="364">
        <v>42548</v>
      </c>
      <c r="C133" s="365">
        <v>160</v>
      </c>
      <c r="D133" s="366">
        <v>33.652999999999999</v>
      </c>
      <c r="E133" s="366">
        <v>36.619999999999997</v>
      </c>
      <c r="F133" s="366">
        <f t="shared" si="180"/>
        <v>474.7199999999998</v>
      </c>
      <c r="G133" s="366">
        <f t="shared" si="181"/>
        <v>5384.48</v>
      </c>
      <c r="H133" s="367">
        <f t="shared" si="182"/>
        <v>8.8164502421775148E-2</v>
      </c>
      <c r="I133" s="366"/>
    </row>
    <row r="134" spans="2:9" x14ac:dyDescent="0.25">
      <c r="B134" s="364">
        <v>42556</v>
      </c>
      <c r="C134" s="365">
        <v>160</v>
      </c>
      <c r="D134" s="366">
        <v>33.652999999999999</v>
      </c>
      <c r="E134" s="366">
        <v>37.33</v>
      </c>
      <c r="F134" s="366">
        <f t="shared" ref="F134:F176" si="183">C134*(E134-D134)</f>
        <v>588.31999999999994</v>
      </c>
      <c r="G134" s="366">
        <f t="shared" ref="G134:G147" si="184">D134*C134</f>
        <v>5384.48</v>
      </c>
      <c r="H134" s="367">
        <f t="shared" ref="H134:H176" si="185">(E134-D134)/D134</f>
        <v>0.10926217573470418</v>
      </c>
      <c r="I134" s="366"/>
    </row>
    <row r="135" spans="2:9" x14ac:dyDescent="0.25">
      <c r="B135" s="364">
        <v>42559</v>
      </c>
      <c r="C135" s="365">
        <v>160</v>
      </c>
      <c r="D135" s="366">
        <v>33.652999999999999</v>
      </c>
      <c r="E135" s="366">
        <v>37.86</v>
      </c>
      <c r="F135" s="366">
        <f t="shared" si="183"/>
        <v>673.12000000000012</v>
      </c>
      <c r="G135" s="366">
        <f t="shared" si="184"/>
        <v>5384.48</v>
      </c>
      <c r="H135" s="367">
        <f t="shared" si="185"/>
        <v>0.12501114313731318</v>
      </c>
      <c r="I135" s="366"/>
    </row>
    <row r="136" spans="2:9" x14ac:dyDescent="0.25">
      <c r="B136" s="364">
        <v>42563</v>
      </c>
      <c r="C136" s="365">
        <v>160</v>
      </c>
      <c r="D136" s="366">
        <v>33.652999999999999</v>
      </c>
      <c r="E136" s="366">
        <v>37.39</v>
      </c>
      <c r="F136" s="366">
        <f t="shared" si="183"/>
        <v>597.9200000000003</v>
      </c>
      <c r="G136" s="366">
        <f t="shared" si="184"/>
        <v>5384.48</v>
      </c>
      <c r="H136" s="367">
        <f t="shared" si="185"/>
        <v>0.11104507770481092</v>
      </c>
      <c r="I136" s="366"/>
    </row>
    <row r="137" spans="2:9" x14ac:dyDescent="0.25">
      <c r="B137" s="364">
        <v>42566</v>
      </c>
      <c r="C137" s="365">
        <v>160</v>
      </c>
      <c r="D137" s="366">
        <v>33.652999999999999</v>
      </c>
      <c r="E137" s="366">
        <v>36.71</v>
      </c>
      <c r="F137" s="366">
        <f t="shared" si="183"/>
        <v>489.12000000000035</v>
      </c>
      <c r="G137" s="366">
        <f t="shared" si="184"/>
        <v>5384.48</v>
      </c>
      <c r="H137" s="367">
        <f t="shared" si="185"/>
        <v>9.0838855376935257E-2</v>
      </c>
      <c r="I137" s="366"/>
    </row>
    <row r="138" spans="2:9" x14ac:dyDescent="0.25">
      <c r="B138" s="364">
        <v>42570</v>
      </c>
      <c r="C138" s="365">
        <v>160</v>
      </c>
      <c r="D138" s="366">
        <v>33.652999999999999</v>
      </c>
      <c r="E138" s="366">
        <v>36.21</v>
      </c>
      <c r="F138" s="366">
        <f t="shared" si="183"/>
        <v>409.12000000000035</v>
      </c>
      <c r="G138" s="366">
        <f t="shared" si="184"/>
        <v>5384.48</v>
      </c>
      <c r="H138" s="367">
        <f t="shared" si="185"/>
        <v>7.5981338959379613E-2</v>
      </c>
      <c r="I138" s="366"/>
    </row>
    <row r="139" spans="2:9" x14ac:dyDescent="0.25">
      <c r="B139" s="364">
        <v>42571</v>
      </c>
      <c r="C139" s="365">
        <v>160</v>
      </c>
      <c r="D139" s="366">
        <v>33.652999999999999</v>
      </c>
      <c r="E139" s="366">
        <v>36.4</v>
      </c>
      <c r="F139" s="366">
        <f t="shared" si="183"/>
        <v>439.52</v>
      </c>
      <c r="G139" s="366">
        <f t="shared" si="184"/>
        <v>5384.48</v>
      </c>
      <c r="H139" s="367">
        <f t="shared" si="185"/>
        <v>8.16271951980507E-2</v>
      </c>
      <c r="I139" s="366"/>
    </row>
    <row r="140" spans="2:9" x14ac:dyDescent="0.25">
      <c r="B140" s="364">
        <v>42572</v>
      </c>
      <c r="C140" s="365">
        <v>160</v>
      </c>
      <c r="D140" s="366">
        <v>33.652999999999999</v>
      </c>
      <c r="E140" s="366">
        <v>35.96</v>
      </c>
      <c r="F140" s="366">
        <f t="shared" si="183"/>
        <v>369.12000000000035</v>
      </c>
      <c r="G140" s="366">
        <f t="shared" si="184"/>
        <v>5384.48</v>
      </c>
      <c r="H140" s="367">
        <f t="shared" si="185"/>
        <v>6.8552580750601791E-2</v>
      </c>
      <c r="I140" s="366"/>
    </row>
    <row r="141" spans="2:9" x14ac:dyDescent="0.25">
      <c r="B141" s="364">
        <v>42576</v>
      </c>
      <c r="C141" s="365">
        <v>160</v>
      </c>
      <c r="D141" s="366">
        <v>33.652999999999999</v>
      </c>
      <c r="E141" s="366">
        <v>35.79</v>
      </c>
      <c r="F141" s="366">
        <f t="shared" si="183"/>
        <v>341.92000000000007</v>
      </c>
      <c r="G141" s="366">
        <f t="shared" si="184"/>
        <v>5384.48</v>
      </c>
      <c r="H141" s="367">
        <f t="shared" si="185"/>
        <v>6.3501025168632833E-2</v>
      </c>
      <c r="I141" s="366"/>
    </row>
    <row r="142" spans="2:9" x14ac:dyDescent="0.25">
      <c r="B142" s="364">
        <v>42577</v>
      </c>
      <c r="C142" s="365">
        <v>160</v>
      </c>
      <c r="D142" s="366">
        <v>33.652999999999999</v>
      </c>
      <c r="E142" s="366">
        <v>36.42</v>
      </c>
      <c r="F142" s="366">
        <f t="shared" si="183"/>
        <v>442.72000000000048</v>
      </c>
      <c r="G142" s="366">
        <f t="shared" si="184"/>
        <v>5384.48</v>
      </c>
      <c r="H142" s="367">
        <f t="shared" si="185"/>
        <v>8.222149585475301E-2</v>
      </c>
      <c r="I142" s="366"/>
    </row>
    <row r="143" spans="2:9" x14ac:dyDescent="0.25">
      <c r="B143" s="364">
        <v>42579</v>
      </c>
      <c r="C143" s="365">
        <v>230</v>
      </c>
      <c r="D143" s="366">
        <v>34.006</v>
      </c>
      <c r="E143" s="366">
        <v>34.4</v>
      </c>
      <c r="F143" s="366">
        <f t="shared" si="183"/>
        <v>90.619999999999621</v>
      </c>
      <c r="G143" s="366">
        <f t="shared" si="184"/>
        <v>7821.38</v>
      </c>
      <c r="H143" s="367">
        <f t="shared" si="185"/>
        <v>1.1586190672234263E-2</v>
      </c>
      <c r="I143" s="366"/>
    </row>
    <row r="144" spans="2:9" x14ac:dyDescent="0.25">
      <c r="B144" s="364">
        <v>42580</v>
      </c>
      <c r="C144" s="365">
        <v>260</v>
      </c>
      <c r="D144" s="366">
        <v>33.991999999999997</v>
      </c>
      <c r="E144" s="366">
        <v>34.19</v>
      </c>
      <c r="F144" s="366">
        <f t="shared" si="183"/>
        <v>51.480000000000103</v>
      </c>
      <c r="G144" s="366">
        <f t="shared" si="184"/>
        <v>8837.92</v>
      </c>
      <c r="H144" s="367">
        <f t="shared" si="185"/>
        <v>5.824899976465063E-3</v>
      </c>
      <c r="I144" s="366"/>
    </row>
    <row r="145" spans="2:9" x14ac:dyDescent="0.25">
      <c r="B145" s="364">
        <v>42584</v>
      </c>
      <c r="C145" s="365">
        <v>300</v>
      </c>
      <c r="D145" s="366">
        <v>33.866</v>
      </c>
      <c r="E145" s="366">
        <v>32.61</v>
      </c>
      <c r="F145" s="366">
        <f t="shared" si="183"/>
        <v>-376.80000000000007</v>
      </c>
      <c r="G145" s="366">
        <f t="shared" si="184"/>
        <v>10159.799999999999</v>
      </c>
      <c r="H145" s="367">
        <f t="shared" si="185"/>
        <v>-3.7087344239059829E-2</v>
      </c>
      <c r="I145" s="366"/>
    </row>
    <row r="146" spans="2:9" x14ac:dyDescent="0.25">
      <c r="B146" s="364">
        <v>42586</v>
      </c>
      <c r="C146" s="365">
        <v>400</v>
      </c>
      <c r="D146" s="366">
        <v>33.520000000000003</v>
      </c>
      <c r="E146" s="366">
        <v>32.549999999999997</v>
      </c>
      <c r="F146" s="366">
        <f t="shared" si="183"/>
        <v>-388.00000000000239</v>
      </c>
      <c r="G146" s="366">
        <f t="shared" si="184"/>
        <v>13408.000000000002</v>
      </c>
      <c r="H146" s="367">
        <f t="shared" si="185"/>
        <v>-2.8937947494033587E-2</v>
      </c>
      <c r="I146" s="366"/>
    </row>
    <row r="147" spans="2:9" x14ac:dyDescent="0.25">
      <c r="B147" s="364">
        <v>42587</v>
      </c>
      <c r="C147" s="365">
        <v>400</v>
      </c>
      <c r="D147" s="366">
        <v>33.387349999999998</v>
      </c>
      <c r="E147" s="366">
        <v>32.729999999999997</v>
      </c>
      <c r="F147" s="366">
        <f t="shared" si="183"/>
        <v>-262.9400000000004</v>
      </c>
      <c r="G147" s="366">
        <f t="shared" si="184"/>
        <v>13354.939999999999</v>
      </c>
      <c r="H147" s="367">
        <f t="shared" si="185"/>
        <v>-1.9688594632398231E-2</v>
      </c>
      <c r="I147" s="366"/>
    </row>
    <row r="148" spans="2:9" x14ac:dyDescent="0.25">
      <c r="B148" s="364">
        <v>42598</v>
      </c>
      <c r="C148" s="365">
        <v>400</v>
      </c>
      <c r="D148" s="366">
        <v>33.387349999999998</v>
      </c>
      <c r="E148" s="366">
        <v>32.1</v>
      </c>
      <c r="F148" s="366">
        <f t="shared" si="183"/>
        <v>-514.93999999999858</v>
      </c>
      <c r="G148" s="366">
        <f t="shared" ref="G148:G153" si="186">D148*C148</f>
        <v>13354.939999999999</v>
      </c>
      <c r="H148" s="367">
        <f t="shared" si="185"/>
        <v>-3.8558016733882636E-2</v>
      </c>
      <c r="I148" s="366"/>
    </row>
    <row r="149" spans="2:9" x14ac:dyDescent="0.25">
      <c r="B149" s="364">
        <v>42599</v>
      </c>
      <c r="C149" s="365">
        <v>500</v>
      </c>
      <c r="D149" s="366">
        <v>33.045879999999997</v>
      </c>
      <c r="E149" s="366">
        <v>31.88</v>
      </c>
      <c r="F149" s="366">
        <f t="shared" si="183"/>
        <v>-582.93999999999892</v>
      </c>
      <c r="G149" s="366">
        <f t="shared" si="186"/>
        <v>16522.939999999999</v>
      </c>
      <c r="H149" s="367">
        <f t="shared" si="185"/>
        <v>-3.5280646180401248E-2</v>
      </c>
      <c r="I149" s="366"/>
    </row>
    <row r="150" spans="2:9" x14ac:dyDescent="0.25">
      <c r="B150" s="364">
        <v>42600</v>
      </c>
      <c r="C150" s="365">
        <v>500</v>
      </c>
      <c r="D150" s="366">
        <v>33.045879999999997</v>
      </c>
      <c r="E150" s="366">
        <v>32.46</v>
      </c>
      <c r="F150" s="366">
        <f t="shared" si="183"/>
        <v>-292.93999999999801</v>
      </c>
      <c r="G150" s="366">
        <f t="shared" si="186"/>
        <v>16522.939999999999</v>
      </c>
      <c r="H150" s="367">
        <f t="shared" si="185"/>
        <v>-1.7729290307899079E-2</v>
      </c>
      <c r="I150" s="366"/>
    </row>
    <row r="151" spans="2:9" x14ac:dyDescent="0.25">
      <c r="B151" s="364">
        <v>42601</v>
      </c>
      <c r="C151" s="365">
        <v>500</v>
      </c>
      <c r="D151" s="366">
        <v>33.045879999999997</v>
      </c>
      <c r="E151" s="366">
        <v>32.61</v>
      </c>
      <c r="F151" s="366">
        <f t="shared" si="183"/>
        <v>-217.93999999999869</v>
      </c>
      <c r="G151" s="366">
        <f t="shared" si="186"/>
        <v>16522.939999999999</v>
      </c>
      <c r="H151" s="367">
        <f t="shared" si="185"/>
        <v>-1.3190146547769266E-2</v>
      </c>
      <c r="I151" s="366"/>
    </row>
    <row r="152" spans="2:9" x14ac:dyDescent="0.25">
      <c r="B152" s="364">
        <v>42604</v>
      </c>
      <c r="C152" s="365">
        <v>500</v>
      </c>
      <c r="D152" s="366">
        <v>33.045879999999997</v>
      </c>
      <c r="E152" s="366">
        <v>32.86</v>
      </c>
      <c r="F152" s="366">
        <f t="shared" si="183"/>
        <v>-92.93999999999869</v>
      </c>
      <c r="G152" s="366">
        <f t="shared" si="186"/>
        <v>16522.939999999999</v>
      </c>
      <c r="H152" s="367">
        <f t="shared" si="185"/>
        <v>-5.624906947552839E-3</v>
      </c>
      <c r="I152" s="366"/>
    </row>
    <row r="153" spans="2:9" x14ac:dyDescent="0.25">
      <c r="B153" s="364">
        <v>42605</v>
      </c>
      <c r="C153" s="365">
        <v>500</v>
      </c>
      <c r="D153" s="366">
        <v>33.045879999999997</v>
      </c>
      <c r="E153" s="366">
        <v>32.25</v>
      </c>
      <c r="F153" s="366">
        <f t="shared" si="183"/>
        <v>-397.93999999999841</v>
      </c>
      <c r="G153" s="366">
        <f t="shared" si="186"/>
        <v>16522.939999999999</v>
      </c>
      <c r="H153" s="367">
        <f t="shared" si="185"/>
        <v>-2.4084091572080902E-2</v>
      </c>
      <c r="I153" s="366"/>
    </row>
    <row r="154" spans="2:9" x14ac:dyDescent="0.25">
      <c r="B154" s="364">
        <v>42606</v>
      </c>
      <c r="C154" s="365">
        <v>500</v>
      </c>
      <c r="D154" s="366">
        <v>33.045879999999997</v>
      </c>
      <c r="E154" s="366">
        <v>32.99</v>
      </c>
      <c r="F154" s="366">
        <f t="shared" si="183"/>
        <v>-27.939999999997411</v>
      </c>
      <c r="G154" s="366">
        <f t="shared" ref="G154:G176" si="187">D154*C154</f>
        <v>16522.939999999999</v>
      </c>
      <c r="H154" s="367">
        <f t="shared" si="185"/>
        <v>-1.6909823554402191E-3</v>
      </c>
      <c r="I154" s="366"/>
    </row>
    <row r="155" spans="2:9" x14ac:dyDescent="0.25">
      <c r="B155" s="364">
        <v>42607</v>
      </c>
      <c r="C155" s="365">
        <v>500</v>
      </c>
      <c r="D155" s="366">
        <v>33.045879999999997</v>
      </c>
      <c r="E155" s="366">
        <v>32.76</v>
      </c>
      <c r="F155" s="366">
        <f t="shared" si="183"/>
        <v>-142.9399999999994</v>
      </c>
      <c r="G155" s="366">
        <f t="shared" si="187"/>
        <v>16522.939999999999</v>
      </c>
      <c r="H155" s="367">
        <f t="shared" si="185"/>
        <v>-8.6510027876394533E-3</v>
      </c>
      <c r="I155" s="366"/>
    </row>
    <row r="156" spans="2:9" x14ac:dyDescent="0.25">
      <c r="B156" s="364">
        <v>42611</v>
      </c>
      <c r="C156" s="365">
        <v>500</v>
      </c>
      <c r="D156" s="366">
        <v>33.045879999999997</v>
      </c>
      <c r="E156" s="366">
        <v>32.33</v>
      </c>
      <c r="F156" s="366">
        <f t="shared" si="183"/>
        <v>-357.93999999999926</v>
      </c>
      <c r="G156" s="366">
        <f t="shared" si="187"/>
        <v>16522.939999999999</v>
      </c>
      <c r="H156" s="367">
        <f t="shared" si="185"/>
        <v>-2.1663214900011697E-2</v>
      </c>
      <c r="I156" s="366"/>
    </row>
    <row r="157" spans="2:9" x14ac:dyDescent="0.25">
      <c r="B157" s="364">
        <v>42612</v>
      </c>
      <c r="C157" s="365">
        <v>500</v>
      </c>
      <c r="D157" s="366">
        <v>33.045879999999997</v>
      </c>
      <c r="E157" s="366">
        <v>32.159999999999997</v>
      </c>
      <c r="F157" s="366">
        <f t="shared" si="183"/>
        <v>-442.94000000000011</v>
      </c>
      <c r="G157" s="366">
        <f t="shared" si="187"/>
        <v>16522.939999999999</v>
      </c>
      <c r="H157" s="367">
        <f t="shared" si="185"/>
        <v>-2.6807577828158919E-2</v>
      </c>
      <c r="I157" s="366"/>
    </row>
    <row r="158" spans="2:9" x14ac:dyDescent="0.25">
      <c r="B158" s="364">
        <v>42614</v>
      </c>
      <c r="C158" s="365">
        <v>500</v>
      </c>
      <c r="D158" s="366">
        <v>33.045879999999997</v>
      </c>
      <c r="E158" s="366">
        <v>31.96</v>
      </c>
      <c r="F158" s="366">
        <f t="shared" si="183"/>
        <v>-542.93999999999801</v>
      </c>
      <c r="G158" s="366">
        <f t="shared" si="187"/>
        <v>16522.939999999999</v>
      </c>
      <c r="H158" s="367">
        <f t="shared" si="185"/>
        <v>-3.2859769508331936E-2</v>
      </c>
      <c r="I158" s="366"/>
    </row>
    <row r="159" spans="2:9" x14ac:dyDescent="0.25">
      <c r="B159" s="364">
        <v>42615</v>
      </c>
      <c r="C159" s="365">
        <v>500</v>
      </c>
      <c r="D159" s="366">
        <v>32.94988</v>
      </c>
      <c r="E159" s="366">
        <v>32.5</v>
      </c>
      <c r="F159" s="366">
        <f t="shared" si="183"/>
        <v>-224.94000000000014</v>
      </c>
      <c r="G159" s="366">
        <f t="shared" si="187"/>
        <v>16474.939999999999</v>
      </c>
      <c r="H159" s="367">
        <f t="shared" si="185"/>
        <v>-1.3653463988336233E-2</v>
      </c>
      <c r="I159" s="366" t="s">
        <v>185</v>
      </c>
    </row>
    <row r="160" spans="2:9" x14ac:dyDescent="0.25">
      <c r="B160" s="364">
        <v>42619</v>
      </c>
      <c r="C160" s="365">
        <v>500</v>
      </c>
      <c r="D160" s="366">
        <v>32.94988</v>
      </c>
      <c r="E160" s="366">
        <v>32.67</v>
      </c>
      <c r="F160" s="366">
        <f t="shared" si="183"/>
        <v>-139.93999999999929</v>
      </c>
      <c r="G160" s="366">
        <f t="shared" si="187"/>
        <v>16474.939999999999</v>
      </c>
      <c r="H160" s="367">
        <f t="shared" si="185"/>
        <v>-8.4941128768905548E-3</v>
      </c>
      <c r="I160" s="366"/>
    </row>
    <row r="161" spans="2:9" x14ac:dyDescent="0.25">
      <c r="B161" s="364">
        <v>42620</v>
      </c>
      <c r="C161" s="365">
        <v>600</v>
      </c>
      <c r="D161" s="366">
        <v>32.733229999999999</v>
      </c>
      <c r="E161" s="366">
        <v>31.32</v>
      </c>
      <c r="F161" s="366">
        <f t="shared" si="183"/>
        <v>-847.93799999999919</v>
      </c>
      <c r="G161" s="366">
        <f t="shared" si="187"/>
        <v>19639.937999999998</v>
      </c>
      <c r="H161" s="367">
        <f t="shared" si="185"/>
        <v>-4.3174168879759153E-2</v>
      </c>
      <c r="I161" s="366"/>
    </row>
    <row r="162" spans="2:9" x14ac:dyDescent="0.25">
      <c r="B162" s="364">
        <v>42620</v>
      </c>
      <c r="C162" s="365">
        <v>700</v>
      </c>
      <c r="D162" s="366">
        <v>32.511339999999997</v>
      </c>
      <c r="E162" s="366">
        <v>31.32</v>
      </c>
      <c r="F162" s="366">
        <f t="shared" si="183"/>
        <v>-833.93799999999771</v>
      </c>
      <c r="G162" s="366">
        <f t="shared" si="187"/>
        <v>22757.937999999998</v>
      </c>
      <c r="H162" s="367">
        <f t="shared" si="185"/>
        <v>-3.6643829506873504E-2</v>
      </c>
      <c r="I162" s="366"/>
    </row>
    <row r="163" spans="2:9" x14ac:dyDescent="0.25">
      <c r="B163" s="364">
        <v>42621</v>
      </c>
      <c r="C163" s="365">
        <v>700</v>
      </c>
      <c r="D163" s="366">
        <v>32.511339999999997</v>
      </c>
      <c r="E163" s="366">
        <v>31.31</v>
      </c>
      <c r="F163" s="366">
        <f t="shared" si="183"/>
        <v>-840.93799999999885</v>
      </c>
      <c r="G163" s="366">
        <f t="shared" si="187"/>
        <v>22757.937999999998</v>
      </c>
      <c r="H163" s="367">
        <f t="shared" si="185"/>
        <v>-3.6951414491066759E-2</v>
      </c>
      <c r="I163" s="366"/>
    </row>
    <row r="164" spans="2:9" x14ac:dyDescent="0.25">
      <c r="B164" s="364">
        <v>42622</v>
      </c>
      <c r="C164" s="365">
        <v>700</v>
      </c>
      <c r="D164" s="366">
        <v>32.511339999999997</v>
      </c>
      <c r="E164" s="366">
        <v>31.51</v>
      </c>
      <c r="F164" s="366">
        <f t="shared" si="183"/>
        <v>-700.9379999999968</v>
      </c>
      <c r="G164" s="366">
        <f t="shared" si="187"/>
        <v>22757.937999999998</v>
      </c>
      <c r="H164" s="367">
        <f t="shared" si="185"/>
        <v>-3.0799714807202519E-2</v>
      </c>
      <c r="I164" s="366"/>
    </row>
    <row r="165" spans="2:9" x14ac:dyDescent="0.25">
      <c r="B165" s="364">
        <v>42625</v>
      </c>
      <c r="C165" s="365">
        <v>800</v>
      </c>
      <c r="D165" s="366">
        <v>32.297429999999999</v>
      </c>
      <c r="E165" s="366">
        <v>30.89</v>
      </c>
      <c r="F165" s="366">
        <f t="shared" si="183"/>
        <v>-1125.9439999999984</v>
      </c>
      <c r="G165" s="366">
        <f t="shared" si="187"/>
        <v>25837.944</v>
      </c>
      <c r="H165" s="367">
        <f t="shared" si="185"/>
        <v>-4.3577151494716394E-2</v>
      </c>
      <c r="I165" s="366"/>
    </row>
    <row r="166" spans="2:9" x14ac:dyDescent="0.25">
      <c r="B166" s="364">
        <v>42632</v>
      </c>
      <c r="C166" s="365">
        <v>800</v>
      </c>
      <c r="D166" s="366">
        <v>32.297429999999999</v>
      </c>
      <c r="E166" s="366">
        <v>30.79</v>
      </c>
      <c r="F166" s="366">
        <f t="shared" si="183"/>
        <v>-1205.9439999999995</v>
      </c>
      <c r="G166" s="366">
        <f t="shared" si="187"/>
        <v>25837.944</v>
      </c>
      <c r="H166" s="367">
        <f t="shared" si="185"/>
        <v>-4.6673373082626063E-2</v>
      </c>
      <c r="I166" s="366"/>
    </row>
    <row r="167" spans="2:9" x14ac:dyDescent="0.25">
      <c r="B167" s="364">
        <v>42633</v>
      </c>
      <c r="C167" s="365">
        <v>800</v>
      </c>
      <c r="D167" s="366">
        <v>32.297429999999999</v>
      </c>
      <c r="E167" s="366">
        <v>31.09</v>
      </c>
      <c r="F167" s="366">
        <f t="shared" si="183"/>
        <v>-965.94399999999894</v>
      </c>
      <c r="G167" s="366">
        <f t="shared" si="187"/>
        <v>25837.944</v>
      </c>
      <c r="H167" s="367">
        <f t="shared" si="185"/>
        <v>-3.7384708318897161E-2</v>
      </c>
      <c r="I167" s="366"/>
    </row>
    <row r="168" spans="2:9" x14ac:dyDescent="0.25">
      <c r="B168" s="364">
        <v>42605</v>
      </c>
      <c r="C168" s="365">
        <v>800</v>
      </c>
      <c r="D168" s="366">
        <v>32.297429999999999</v>
      </c>
      <c r="E168" s="366">
        <v>30.45</v>
      </c>
      <c r="F168" s="366">
        <f t="shared" si="183"/>
        <v>-1477.9439999999995</v>
      </c>
      <c r="G168" s="366">
        <f t="shared" si="187"/>
        <v>25837.944</v>
      </c>
      <c r="H168" s="367">
        <f t="shared" si="185"/>
        <v>-5.7200526481518785E-2</v>
      </c>
      <c r="I168" s="366"/>
    </row>
    <row r="169" spans="2:9" x14ac:dyDescent="0.25">
      <c r="B169" s="364">
        <v>42639</v>
      </c>
      <c r="C169" s="365">
        <v>900</v>
      </c>
      <c r="D169" s="366">
        <v>32.05104</v>
      </c>
      <c r="E169" s="366">
        <v>30.08</v>
      </c>
      <c r="F169" s="366">
        <f t="shared" si="183"/>
        <v>-1773.936000000002</v>
      </c>
      <c r="G169" s="366">
        <f t="shared" si="187"/>
        <v>28845.936000000002</v>
      </c>
      <c r="H169" s="367">
        <f t="shared" si="185"/>
        <v>-6.14969124246827E-2</v>
      </c>
      <c r="I169" s="366"/>
    </row>
    <row r="170" spans="2:9" x14ac:dyDescent="0.25">
      <c r="B170" s="364">
        <v>42640</v>
      </c>
      <c r="C170" s="365">
        <v>900</v>
      </c>
      <c r="D170" s="366">
        <v>32.05104</v>
      </c>
      <c r="E170" s="366">
        <v>29.9</v>
      </c>
      <c r="F170" s="366">
        <f t="shared" si="183"/>
        <v>-1935.9360000000017</v>
      </c>
      <c r="G170" s="366">
        <f t="shared" si="187"/>
        <v>28845.936000000002</v>
      </c>
      <c r="H170" s="367">
        <f t="shared" si="185"/>
        <v>-6.7112954837034985E-2</v>
      </c>
      <c r="I170" s="366"/>
    </row>
    <row r="171" spans="2:9" x14ac:dyDescent="0.25">
      <c r="B171" s="364">
        <v>42641</v>
      </c>
      <c r="C171" s="365">
        <v>900</v>
      </c>
      <c r="D171" s="366">
        <v>32.05104</v>
      </c>
      <c r="E171" s="366">
        <v>29.84</v>
      </c>
      <c r="F171" s="366">
        <f t="shared" si="183"/>
        <v>-1989.9360000000006</v>
      </c>
      <c r="G171" s="366">
        <f t="shared" si="187"/>
        <v>28845.936000000002</v>
      </c>
      <c r="H171" s="367">
        <f t="shared" si="185"/>
        <v>-6.8984968974485708E-2</v>
      </c>
      <c r="I171" s="366"/>
    </row>
    <row r="172" spans="2:9" x14ac:dyDescent="0.25">
      <c r="B172" s="364">
        <v>42643</v>
      </c>
      <c r="C172" s="365">
        <v>900</v>
      </c>
      <c r="D172" s="366">
        <v>32.05104</v>
      </c>
      <c r="E172" s="366">
        <v>29.68</v>
      </c>
      <c r="F172" s="366">
        <f t="shared" si="183"/>
        <v>-2133.9360000000006</v>
      </c>
      <c r="G172" s="366">
        <f t="shared" si="187"/>
        <v>28845.936000000002</v>
      </c>
      <c r="H172" s="367">
        <f t="shared" si="185"/>
        <v>-7.3977006674354431E-2</v>
      </c>
      <c r="I172" s="366"/>
    </row>
    <row r="173" spans="2:9" x14ac:dyDescent="0.25">
      <c r="B173" s="364">
        <v>42646</v>
      </c>
      <c r="C173" s="365">
        <v>1000</v>
      </c>
      <c r="D173" s="366">
        <v>31.78594</v>
      </c>
      <c r="E173" s="366">
        <v>29.28</v>
      </c>
      <c r="F173" s="366">
        <f t="shared" si="183"/>
        <v>-2505.9399999999991</v>
      </c>
      <c r="G173" s="366">
        <f t="shared" si="187"/>
        <v>31785.94</v>
      </c>
      <c r="H173" s="367">
        <f t="shared" si="185"/>
        <v>-7.8838001959356835E-2</v>
      </c>
      <c r="I173" s="366"/>
    </row>
    <row r="174" spans="2:9" x14ac:dyDescent="0.25">
      <c r="B174" s="364">
        <v>42648</v>
      </c>
      <c r="C174" s="365">
        <v>1000</v>
      </c>
      <c r="D174" s="366">
        <v>31.78594</v>
      </c>
      <c r="E174" s="366">
        <v>28.84</v>
      </c>
      <c r="F174" s="366">
        <f t="shared" si="183"/>
        <v>-2945.94</v>
      </c>
      <c r="G174" s="366">
        <f t="shared" si="187"/>
        <v>31785.94</v>
      </c>
      <c r="H174" s="367">
        <f t="shared" si="185"/>
        <v>-9.2680600290568724E-2</v>
      </c>
      <c r="I174" s="366"/>
    </row>
    <row r="175" spans="2:9" x14ac:dyDescent="0.25">
      <c r="B175" s="364">
        <v>42649</v>
      </c>
      <c r="C175" s="365">
        <v>1000</v>
      </c>
      <c r="D175" s="366">
        <v>31.78594</v>
      </c>
      <c r="E175" s="366">
        <v>29.37</v>
      </c>
      <c r="F175" s="366">
        <f t="shared" si="183"/>
        <v>-2415.9399999999991</v>
      </c>
      <c r="G175" s="366">
        <f t="shared" si="187"/>
        <v>31785.94</v>
      </c>
      <c r="H175" s="367">
        <f t="shared" si="185"/>
        <v>-7.6006561391608968E-2</v>
      </c>
      <c r="I175" s="366"/>
    </row>
    <row r="176" spans="2:9" x14ac:dyDescent="0.25">
      <c r="B176" s="364">
        <v>42650</v>
      </c>
      <c r="C176" s="365">
        <v>1000</v>
      </c>
      <c r="D176" s="366">
        <v>31.78594</v>
      </c>
      <c r="E176" s="366">
        <v>29</v>
      </c>
      <c r="F176" s="366">
        <f t="shared" si="183"/>
        <v>-2785.94</v>
      </c>
      <c r="G176" s="366">
        <f t="shared" si="187"/>
        <v>31785.94</v>
      </c>
      <c r="H176" s="367">
        <f t="shared" si="185"/>
        <v>-8.7646928170128049E-2</v>
      </c>
      <c r="I176" s="366"/>
    </row>
    <row r="177" spans="2:9" x14ac:dyDescent="0.25">
      <c r="B177" s="364">
        <v>42661</v>
      </c>
      <c r="C177" s="365">
        <v>1000</v>
      </c>
      <c r="D177" s="366">
        <v>31.78594</v>
      </c>
      <c r="E177" s="366">
        <v>30.64</v>
      </c>
      <c r="F177" s="366">
        <f t="shared" ref="F177:F182" si="188">C177*(E177-D177)</f>
        <v>-1145.9399999999996</v>
      </c>
      <c r="G177" s="366">
        <f t="shared" ref="G177:G182" si="189">D177*C177</f>
        <v>31785.94</v>
      </c>
      <c r="H177" s="367">
        <f t="shared" ref="H177:H182" si="190">(E177-D177)/D177</f>
        <v>-3.6051788935611138E-2</v>
      </c>
      <c r="I177" s="366"/>
    </row>
    <row r="178" spans="2:9" x14ac:dyDescent="0.25">
      <c r="B178" s="364">
        <v>42671</v>
      </c>
      <c r="C178" s="365">
        <v>900</v>
      </c>
      <c r="D178" s="366">
        <v>31.837789999999998</v>
      </c>
      <c r="E178" s="366">
        <v>31.26</v>
      </c>
      <c r="F178" s="366">
        <f t="shared" si="188"/>
        <v>-520.01099999999701</v>
      </c>
      <c r="G178" s="366">
        <f t="shared" si="189"/>
        <v>28654.010999999999</v>
      </c>
      <c r="H178" s="367">
        <f t="shared" si="190"/>
        <v>-1.8147930493919232E-2</v>
      </c>
      <c r="I178" s="366"/>
    </row>
    <row r="179" spans="2:9" x14ac:dyDescent="0.25">
      <c r="B179" s="364">
        <v>42674</v>
      </c>
      <c r="C179" s="365">
        <v>1000</v>
      </c>
      <c r="D179" s="366">
        <v>31.763999999999999</v>
      </c>
      <c r="E179" s="366">
        <v>30.98</v>
      </c>
      <c r="F179" s="366">
        <f t="shared" si="188"/>
        <v>-783.99999999999886</v>
      </c>
      <c r="G179" s="366">
        <f t="shared" si="189"/>
        <v>31764</v>
      </c>
      <c r="H179" s="367">
        <f t="shared" si="190"/>
        <v>-2.468202997103636E-2</v>
      </c>
      <c r="I179" s="366"/>
    </row>
    <row r="180" spans="2:9" x14ac:dyDescent="0.25">
      <c r="B180" s="364">
        <v>42676</v>
      </c>
      <c r="C180" s="365">
        <v>500</v>
      </c>
      <c r="D180" s="366">
        <v>31.518719999999998</v>
      </c>
      <c r="E180" s="366">
        <v>32.22</v>
      </c>
      <c r="F180" s="366">
        <f t="shared" si="188"/>
        <v>350.64000000000027</v>
      </c>
      <c r="G180" s="366">
        <f t="shared" si="189"/>
        <v>15759.359999999999</v>
      </c>
      <c r="H180" s="367">
        <f t="shared" si="190"/>
        <v>2.2249634502923995E-2</v>
      </c>
      <c r="I180" s="366">
        <v>31</v>
      </c>
    </row>
    <row r="181" spans="2:9" x14ac:dyDescent="0.25">
      <c r="B181" s="364">
        <v>42677</v>
      </c>
      <c r="C181" s="365">
        <v>800</v>
      </c>
      <c r="D181" s="366">
        <v>31.51858</v>
      </c>
      <c r="E181" s="366">
        <v>31.02</v>
      </c>
      <c r="F181" s="366">
        <f t="shared" si="188"/>
        <v>-398.86400000000037</v>
      </c>
      <c r="G181" s="366">
        <f t="shared" si="189"/>
        <v>25214.864000000001</v>
      </c>
      <c r="H181" s="367">
        <f t="shared" si="190"/>
        <v>-1.5818606041262027E-2</v>
      </c>
      <c r="I181" s="366"/>
    </row>
    <row r="182" spans="2:9" x14ac:dyDescent="0.25">
      <c r="B182" s="364">
        <v>42701</v>
      </c>
      <c r="C182" s="365">
        <v>400</v>
      </c>
      <c r="D182" s="366">
        <v>30.677849999999999</v>
      </c>
      <c r="E182" s="366">
        <v>33.880000000000003</v>
      </c>
      <c r="F182" s="366">
        <f t="shared" si="188"/>
        <v>1280.8600000000013</v>
      </c>
      <c r="G182" s="366">
        <f t="shared" si="189"/>
        <v>12271.14</v>
      </c>
      <c r="H182" s="367">
        <f t="shared" si="190"/>
        <v>0.10437987016691207</v>
      </c>
      <c r="I182" s="366"/>
    </row>
    <row r="183" spans="2:9" x14ac:dyDescent="0.25">
      <c r="B183" s="364">
        <v>42704</v>
      </c>
      <c r="C183" s="365">
        <v>400</v>
      </c>
      <c r="D183" s="366">
        <v>30.677849999999999</v>
      </c>
      <c r="E183" s="366">
        <v>32.299999999999997</v>
      </c>
      <c r="F183" s="366">
        <f t="shared" ref="F183:F189" si="191">C183*(E183-D183)</f>
        <v>648.8599999999991</v>
      </c>
      <c r="G183" s="366">
        <f t="shared" ref="G183:G189" si="192">D183*C183</f>
        <v>12271.14</v>
      </c>
      <c r="H183" s="367">
        <f t="shared" ref="H183:H189" si="193">(E183-D183)/D183</f>
        <v>5.2876912821465581E-2</v>
      </c>
      <c r="I183" s="366"/>
    </row>
    <row r="184" spans="2:9" x14ac:dyDescent="0.25">
      <c r="B184" s="364">
        <v>42706</v>
      </c>
      <c r="C184" s="365">
        <v>400</v>
      </c>
      <c r="D184" s="366">
        <v>30.527850000000001</v>
      </c>
      <c r="E184" s="366">
        <v>33.299999999999997</v>
      </c>
      <c r="F184" s="366">
        <f t="shared" si="191"/>
        <v>1108.8599999999985</v>
      </c>
      <c r="G184" s="366">
        <f t="shared" si="192"/>
        <v>12211.14</v>
      </c>
      <c r="H184" s="367">
        <f t="shared" si="193"/>
        <v>9.0807246497869851E-2</v>
      </c>
      <c r="I184" s="366"/>
    </row>
    <row r="185" spans="2:9" x14ac:dyDescent="0.25">
      <c r="B185" s="364">
        <v>42712</v>
      </c>
      <c r="C185" s="365">
        <v>300</v>
      </c>
      <c r="D185" s="366">
        <v>29.297370000000001</v>
      </c>
      <c r="E185" s="366">
        <v>34.19</v>
      </c>
      <c r="F185" s="366">
        <f t="shared" si="191"/>
        <v>1467.7889999999991</v>
      </c>
      <c r="G185" s="366">
        <f t="shared" si="192"/>
        <v>8789.2109999999993</v>
      </c>
      <c r="H185" s="367">
        <f t="shared" si="193"/>
        <v>0.16699894905242338</v>
      </c>
      <c r="I185" s="366"/>
    </row>
    <row r="186" spans="2:9" x14ac:dyDescent="0.25">
      <c r="B186" s="364">
        <v>42713</v>
      </c>
      <c r="C186" s="365">
        <v>200</v>
      </c>
      <c r="D186" s="366">
        <v>26.551449999999999</v>
      </c>
      <c r="E186" s="366">
        <v>34.78</v>
      </c>
      <c r="F186" s="366">
        <f t="shared" si="191"/>
        <v>1645.7100000000005</v>
      </c>
      <c r="G186" s="366">
        <f t="shared" si="192"/>
        <v>5310.29</v>
      </c>
      <c r="H186" s="367">
        <f t="shared" si="193"/>
        <v>0.30990962828772073</v>
      </c>
      <c r="I186" s="366"/>
    </row>
    <row r="187" spans="2:9" x14ac:dyDescent="0.25">
      <c r="B187" s="364">
        <v>42716</v>
      </c>
      <c r="C187" s="365">
        <v>300</v>
      </c>
      <c r="D187" s="366">
        <v>29.0943</v>
      </c>
      <c r="E187" s="366">
        <v>34.22</v>
      </c>
      <c r="F187" s="366">
        <f t="shared" si="191"/>
        <v>1537.7099999999996</v>
      </c>
      <c r="G187" s="366">
        <f t="shared" si="192"/>
        <v>8728.2900000000009</v>
      </c>
      <c r="H187" s="367">
        <f t="shared" si="193"/>
        <v>0.17617540205469795</v>
      </c>
      <c r="I187" s="366"/>
    </row>
    <row r="188" spans="2:9" x14ac:dyDescent="0.25">
      <c r="B188" s="364">
        <v>42718</v>
      </c>
      <c r="C188" s="365">
        <v>100</v>
      </c>
      <c r="D188" s="366">
        <v>17.179500000000001</v>
      </c>
      <c r="E188" s="366">
        <v>34.72</v>
      </c>
      <c r="F188" s="366">
        <f t="shared" si="191"/>
        <v>1754.0499999999997</v>
      </c>
      <c r="G188" s="366">
        <f t="shared" si="192"/>
        <v>1717.95</v>
      </c>
      <c r="H188" s="367">
        <f t="shared" si="193"/>
        <v>1.021013417154166</v>
      </c>
      <c r="I188" s="366"/>
    </row>
    <row r="189" spans="2:9" x14ac:dyDescent="0.25">
      <c r="B189" s="364">
        <v>42718</v>
      </c>
      <c r="C189" s="365">
        <v>300</v>
      </c>
      <c r="D189" s="366">
        <v>28.9132</v>
      </c>
      <c r="E189" s="366">
        <v>34.72</v>
      </c>
      <c r="F189" s="366">
        <f t="shared" si="191"/>
        <v>1742.0399999999997</v>
      </c>
      <c r="G189" s="366">
        <f t="shared" si="192"/>
        <v>8673.9599999999991</v>
      </c>
      <c r="H189" s="367">
        <f t="shared" si="193"/>
        <v>0.20083560449898313</v>
      </c>
      <c r="I189" s="366"/>
    </row>
    <row r="190" spans="2:9" x14ac:dyDescent="0.25">
      <c r="B190" s="364">
        <v>42729</v>
      </c>
      <c r="C190" s="365">
        <v>300</v>
      </c>
      <c r="D190" s="366">
        <v>28.9132</v>
      </c>
      <c r="E190" s="366">
        <v>35.08</v>
      </c>
      <c r="F190" s="366">
        <f>C190*(E190-D190)</f>
        <v>1850.0399999999995</v>
      </c>
      <c r="G190" s="366">
        <f>D190*C190</f>
        <v>8673.9599999999991</v>
      </c>
      <c r="H190" s="367">
        <f>(E190-D190)/D190</f>
        <v>0.21328666491429515</v>
      </c>
      <c r="I190" s="366"/>
    </row>
    <row r="191" spans="2:9" x14ac:dyDescent="0.25">
      <c r="B191" s="364">
        <v>42745</v>
      </c>
      <c r="C191" s="365">
        <v>400</v>
      </c>
      <c r="D191" s="366">
        <v>30.12988</v>
      </c>
      <c r="E191" s="366">
        <v>33.19</v>
      </c>
      <c r="F191" s="366">
        <f>C191*(E191-D191)</f>
        <v>1224.0479999999991</v>
      </c>
      <c r="G191" s="366">
        <f>D191*C191</f>
        <v>12051.951999999999</v>
      </c>
      <c r="H191" s="367">
        <f>(E191-D191)/D191</f>
        <v>0.1015642943151449</v>
      </c>
      <c r="I191" s="366"/>
    </row>
    <row r="192" spans="2:9" x14ac:dyDescent="0.25">
      <c r="B192" s="364">
        <v>42752</v>
      </c>
      <c r="C192" s="365">
        <v>300</v>
      </c>
      <c r="D192" s="366">
        <v>28.620100000000001</v>
      </c>
      <c r="E192" s="366">
        <v>34.840000000000003</v>
      </c>
      <c r="F192" s="366">
        <f>C192*(E192-D192)</f>
        <v>1865.9700000000007</v>
      </c>
      <c r="G192" s="366">
        <f>D192*C192</f>
        <v>8586.0300000000007</v>
      </c>
      <c r="H192" s="367">
        <f>(E192-D192)/D192</f>
        <v>0.21732628467405782</v>
      </c>
      <c r="I192" s="366">
        <v>28.25</v>
      </c>
    </row>
    <row r="193" spans="2:13" x14ac:dyDescent="0.25">
      <c r="B193" s="364">
        <v>42754</v>
      </c>
      <c r="C193" s="365">
        <v>400</v>
      </c>
      <c r="D193" s="366">
        <v>30.032579999999999</v>
      </c>
      <c r="E193" s="366">
        <v>34.26</v>
      </c>
      <c r="F193" s="366">
        <f>C193*(E193-D193)</f>
        <v>1690.9679999999994</v>
      </c>
      <c r="G193" s="366">
        <f>D193*C193</f>
        <v>12013.031999999999</v>
      </c>
      <c r="H193" s="367">
        <f>(E193-D193)/D193</f>
        <v>0.14076113340911767</v>
      </c>
      <c r="I193" s="366"/>
    </row>
    <row r="208" spans="2:13" x14ac:dyDescent="0.25">
      <c r="M208" s="2">
        <f>M236+K239-F239</f>
        <v>1747.9699999999939</v>
      </c>
    </row>
    <row r="209" spans="1:13" x14ac:dyDescent="0.25">
      <c r="M209" s="255" t="s">
        <v>38</v>
      </c>
    </row>
    <row r="210" spans="1:13" x14ac:dyDescent="0.25">
      <c r="M210" s="254">
        <v>10.5</v>
      </c>
    </row>
    <row r="211" spans="1:13" x14ac:dyDescent="0.25">
      <c r="L211" t="s">
        <v>65</v>
      </c>
      <c r="M211" s="254">
        <v>48</v>
      </c>
    </row>
    <row r="212" spans="1:13" x14ac:dyDescent="0.25">
      <c r="A212" s="255" t="s">
        <v>1</v>
      </c>
      <c r="B212" s="255" t="s">
        <v>2</v>
      </c>
      <c r="C212" s="255" t="s">
        <v>4</v>
      </c>
      <c r="D212" s="256" t="s">
        <v>5</v>
      </c>
      <c r="E212" s="256" t="s">
        <v>94</v>
      </c>
      <c r="F212" s="256" t="s">
        <v>60</v>
      </c>
      <c r="G212" s="255" t="s">
        <v>3</v>
      </c>
      <c r="H212" s="255" t="s">
        <v>6</v>
      </c>
      <c r="I212" s="256" t="s">
        <v>7</v>
      </c>
      <c r="J212" s="256" t="s">
        <v>95</v>
      </c>
      <c r="K212" s="256" t="s">
        <v>61</v>
      </c>
      <c r="L212" s="255" t="s">
        <v>37</v>
      </c>
      <c r="M212" s="254">
        <v>60</v>
      </c>
    </row>
    <row r="213" spans="1:13" x14ac:dyDescent="0.25">
      <c r="A213" s="257" t="s">
        <v>196</v>
      </c>
      <c r="B213" s="258">
        <v>42482</v>
      </c>
      <c r="C213" s="253">
        <v>80</v>
      </c>
      <c r="D213" s="254">
        <v>36.01</v>
      </c>
      <c r="E213" s="254">
        <v>0</v>
      </c>
      <c r="F213" s="254">
        <f t="shared" ref="F213:F233" si="194">D213*C213+E213</f>
        <v>2880.7999999999997</v>
      </c>
      <c r="G213" s="258">
        <v>42514</v>
      </c>
      <c r="H213" s="253">
        <v>40</v>
      </c>
      <c r="I213" s="254">
        <v>35.35</v>
      </c>
      <c r="J213" s="254">
        <v>0.03</v>
      </c>
      <c r="K213" s="254">
        <f>I213*H213-J213</f>
        <v>1413.97</v>
      </c>
      <c r="L213" s="258">
        <v>42522</v>
      </c>
      <c r="M213" s="253"/>
    </row>
    <row r="214" spans="1:13" x14ac:dyDescent="0.25">
      <c r="A214" s="260" t="s">
        <v>71</v>
      </c>
      <c r="B214" s="258">
        <v>42482</v>
      </c>
      <c r="C214" s="253">
        <v>20</v>
      </c>
      <c r="D214" s="254">
        <v>35.549999999999997</v>
      </c>
      <c r="E214" s="254">
        <v>0</v>
      </c>
      <c r="F214" s="254">
        <f t="shared" si="194"/>
        <v>711</v>
      </c>
      <c r="G214" s="253"/>
      <c r="H214" s="253"/>
      <c r="I214" s="254"/>
      <c r="J214" s="254"/>
      <c r="K214" s="254"/>
      <c r="L214" s="258">
        <v>42614</v>
      </c>
      <c r="M214" s="253"/>
    </row>
    <row r="215" spans="1:13" x14ac:dyDescent="0.25">
      <c r="A215" s="253"/>
      <c r="B215" s="258">
        <v>42508</v>
      </c>
      <c r="C215" s="253">
        <v>40</v>
      </c>
      <c r="D215" s="254">
        <v>34.19</v>
      </c>
      <c r="E215" s="254">
        <v>0</v>
      </c>
      <c r="F215" s="254">
        <f t="shared" si="194"/>
        <v>1367.6</v>
      </c>
      <c r="G215" s="258">
        <v>42521</v>
      </c>
      <c r="H215" s="259">
        <v>40</v>
      </c>
      <c r="I215" s="254">
        <v>35.99</v>
      </c>
      <c r="J215" s="254">
        <v>0.03</v>
      </c>
      <c r="K215" s="254">
        <f t="shared" ref="K215:K230" si="195">I215*H215-J215</f>
        <v>1439.5700000000002</v>
      </c>
      <c r="L215" s="258">
        <v>42706</v>
      </c>
      <c r="M215" s="253"/>
    </row>
    <row r="216" spans="1:13" x14ac:dyDescent="0.25">
      <c r="A216" s="253"/>
      <c r="B216" s="258">
        <v>42509</v>
      </c>
      <c r="C216" s="253">
        <v>100</v>
      </c>
      <c r="D216" s="254">
        <v>34.49</v>
      </c>
      <c r="E216" s="254">
        <v>0</v>
      </c>
      <c r="F216" s="254">
        <f t="shared" si="194"/>
        <v>3449</v>
      </c>
      <c r="G216" s="258">
        <v>42531</v>
      </c>
      <c r="H216" s="259">
        <v>100</v>
      </c>
      <c r="I216" s="254">
        <v>36.99</v>
      </c>
      <c r="J216" s="254">
        <v>0.08</v>
      </c>
      <c r="K216" s="254">
        <f t="shared" si="195"/>
        <v>3698.92</v>
      </c>
      <c r="L216" s="253"/>
      <c r="M216" s="253"/>
    </row>
    <row r="217" spans="1:13" x14ac:dyDescent="0.25">
      <c r="A217" s="253"/>
      <c r="B217" s="258">
        <v>42536</v>
      </c>
      <c r="C217" s="253">
        <v>100</v>
      </c>
      <c r="D217" s="254">
        <v>35.39</v>
      </c>
      <c r="E217" s="254">
        <v>0</v>
      </c>
      <c r="F217" s="254">
        <f t="shared" si="194"/>
        <v>3539</v>
      </c>
      <c r="G217" s="258">
        <v>42594</v>
      </c>
      <c r="H217" s="259">
        <v>100</v>
      </c>
      <c r="I217" s="254">
        <v>32.58</v>
      </c>
      <c r="J217" s="254">
        <v>7.0000000000000007E-2</v>
      </c>
      <c r="K217" s="254">
        <f t="shared" si="195"/>
        <v>3257.93</v>
      </c>
      <c r="L217" s="253"/>
      <c r="M217" s="253"/>
    </row>
    <row r="218" spans="1:13" x14ac:dyDescent="0.25">
      <c r="A218" s="253"/>
      <c r="B218" s="258">
        <v>42579</v>
      </c>
      <c r="C218" s="253">
        <v>40</v>
      </c>
      <c r="D218" s="254">
        <v>35</v>
      </c>
      <c r="E218" s="254">
        <v>0</v>
      </c>
      <c r="F218" s="254">
        <f t="shared" si="194"/>
        <v>1400</v>
      </c>
      <c r="G218" s="258">
        <v>42671</v>
      </c>
      <c r="H218" s="259">
        <v>100</v>
      </c>
      <c r="I218" s="254">
        <v>31.32</v>
      </c>
      <c r="J218" s="254">
        <v>7.0000000000000007E-2</v>
      </c>
      <c r="K218" s="254">
        <f t="shared" si="195"/>
        <v>3131.93</v>
      </c>
      <c r="L218" s="253"/>
      <c r="M218" s="253"/>
    </row>
    <row r="219" spans="1:13" x14ac:dyDescent="0.25">
      <c r="A219" s="253"/>
      <c r="B219" s="258">
        <v>42579</v>
      </c>
      <c r="C219" s="253">
        <v>30</v>
      </c>
      <c r="D219" s="254">
        <v>34.57</v>
      </c>
      <c r="E219" s="254">
        <v>-7.0000000000000007E-2</v>
      </c>
      <c r="F219" s="254">
        <f t="shared" si="194"/>
        <v>1037.03</v>
      </c>
      <c r="G219" s="258">
        <v>42676</v>
      </c>
      <c r="H219" s="259">
        <v>200</v>
      </c>
      <c r="I219" s="254">
        <v>31.83</v>
      </c>
      <c r="J219" s="254">
        <v>0.14000000000000001</v>
      </c>
      <c r="K219" s="254">
        <f t="shared" si="195"/>
        <v>6365.86</v>
      </c>
      <c r="L219" s="253"/>
      <c r="M219" s="253"/>
    </row>
    <row r="220" spans="1:13" x14ac:dyDescent="0.25">
      <c r="A220" s="253"/>
      <c r="B220" s="258">
        <v>42580</v>
      </c>
      <c r="C220" s="253">
        <v>30</v>
      </c>
      <c r="D220" s="254">
        <v>33.880000000000003</v>
      </c>
      <c r="E220" s="254">
        <v>0</v>
      </c>
      <c r="F220" s="254">
        <f t="shared" si="194"/>
        <v>1016.4000000000001</v>
      </c>
      <c r="G220" s="258">
        <v>42676</v>
      </c>
      <c r="H220" s="259">
        <v>100</v>
      </c>
      <c r="I220" s="254">
        <v>31.98</v>
      </c>
      <c r="J220" s="254">
        <v>7.0000000000000007E-2</v>
      </c>
      <c r="K220" s="254">
        <f t="shared" si="195"/>
        <v>3197.93</v>
      </c>
      <c r="L220" s="253"/>
      <c r="M220" s="253"/>
    </row>
    <row r="221" spans="1:13" x14ac:dyDescent="0.25">
      <c r="A221" s="253"/>
      <c r="B221" s="258">
        <v>42584</v>
      </c>
      <c r="C221" s="253">
        <v>40</v>
      </c>
      <c r="D221" s="254">
        <v>33.049999999999997</v>
      </c>
      <c r="E221" s="254">
        <v>0</v>
      </c>
      <c r="F221" s="254">
        <f t="shared" si="194"/>
        <v>1322</v>
      </c>
      <c r="G221" s="258">
        <v>42676</v>
      </c>
      <c r="H221" s="259">
        <v>100</v>
      </c>
      <c r="I221" s="254">
        <v>32.18</v>
      </c>
      <c r="J221" s="254">
        <v>7.0000000000000007E-2</v>
      </c>
      <c r="K221" s="254">
        <f t="shared" si="195"/>
        <v>3217.93</v>
      </c>
      <c r="L221" s="253"/>
      <c r="M221" s="253"/>
    </row>
    <row r="222" spans="1:13" x14ac:dyDescent="0.25">
      <c r="A222" s="253"/>
      <c r="B222" s="258">
        <v>42586</v>
      </c>
      <c r="C222" s="253">
        <v>100</v>
      </c>
      <c r="D222" s="254">
        <v>32.479999999999997</v>
      </c>
      <c r="E222" s="254">
        <v>0</v>
      </c>
      <c r="F222" s="254">
        <f t="shared" si="194"/>
        <v>3247.9999999999995</v>
      </c>
      <c r="G222" s="258">
        <v>42676</v>
      </c>
      <c r="H222" s="259">
        <v>100</v>
      </c>
      <c r="I222" s="254">
        <v>32.229999999999997</v>
      </c>
      <c r="J222" s="254">
        <v>7.0000000000000007E-2</v>
      </c>
      <c r="K222" s="254">
        <f t="shared" si="195"/>
        <v>3222.9299999999994</v>
      </c>
      <c r="L222" s="253"/>
      <c r="M222" s="253"/>
    </row>
    <row r="223" spans="1:13" x14ac:dyDescent="0.25">
      <c r="A223" s="253"/>
      <c r="B223" s="258">
        <v>42593</v>
      </c>
      <c r="C223" s="253">
        <v>100</v>
      </c>
      <c r="D223" s="254">
        <v>32.049999999999997</v>
      </c>
      <c r="E223" s="254">
        <v>0</v>
      </c>
      <c r="F223" s="254">
        <f t="shared" si="194"/>
        <v>3204.9999999999995</v>
      </c>
      <c r="G223" s="258">
        <v>42683</v>
      </c>
      <c r="H223" s="259">
        <v>100</v>
      </c>
      <c r="I223" s="254">
        <v>32.33</v>
      </c>
      <c r="J223" s="254">
        <v>7.0000000000000007E-2</v>
      </c>
      <c r="K223" s="254">
        <f t="shared" si="195"/>
        <v>3232.93</v>
      </c>
      <c r="L223" s="253"/>
      <c r="M223" s="253"/>
    </row>
    <row r="224" spans="1:13" x14ac:dyDescent="0.25">
      <c r="A224" s="253"/>
      <c r="B224" s="258">
        <v>42599</v>
      </c>
      <c r="C224" s="253">
        <v>100</v>
      </c>
      <c r="D224" s="254">
        <v>31.68</v>
      </c>
      <c r="E224" s="254">
        <v>0</v>
      </c>
      <c r="F224" s="254">
        <f t="shared" si="194"/>
        <v>3168</v>
      </c>
      <c r="G224" s="258">
        <v>42683</v>
      </c>
      <c r="H224" s="259">
        <v>200</v>
      </c>
      <c r="I224" s="254">
        <v>32.08</v>
      </c>
      <c r="J224" s="254">
        <v>0.14000000000000001</v>
      </c>
      <c r="K224" s="254">
        <f t="shared" si="195"/>
        <v>6415.86</v>
      </c>
      <c r="L224" s="253"/>
      <c r="M224" s="253"/>
    </row>
    <row r="225" spans="1:13" x14ac:dyDescent="0.25">
      <c r="A225" s="253"/>
      <c r="B225" s="258">
        <v>42620</v>
      </c>
      <c r="C225" s="253">
        <v>100</v>
      </c>
      <c r="D225" s="254">
        <v>31.65</v>
      </c>
      <c r="E225" s="254">
        <v>0</v>
      </c>
      <c r="F225" s="254">
        <f t="shared" si="194"/>
        <v>3165</v>
      </c>
      <c r="G225" s="258">
        <v>42684</v>
      </c>
      <c r="H225" s="259">
        <v>100</v>
      </c>
      <c r="I225" s="254">
        <v>32.950000000000003</v>
      </c>
      <c r="J225" s="254">
        <v>7.0000000000000007E-2</v>
      </c>
      <c r="K225" s="254">
        <f t="shared" si="195"/>
        <v>3294.9300000000003</v>
      </c>
      <c r="L225" s="253"/>
      <c r="M225" s="253"/>
    </row>
    <row r="226" spans="1:13" x14ac:dyDescent="0.25">
      <c r="A226" s="253"/>
      <c r="B226" s="258">
        <v>42620</v>
      </c>
      <c r="C226" s="253">
        <v>100</v>
      </c>
      <c r="D226" s="254">
        <v>31.18</v>
      </c>
      <c r="E226" s="254">
        <v>0</v>
      </c>
      <c r="F226" s="254">
        <f t="shared" si="194"/>
        <v>3118</v>
      </c>
      <c r="G226" s="258">
        <v>42712</v>
      </c>
      <c r="H226" s="259">
        <v>100</v>
      </c>
      <c r="I226" s="254">
        <v>34.22</v>
      </c>
      <c r="J226" s="254">
        <v>7.0000000000000007E-2</v>
      </c>
      <c r="K226" s="254">
        <f t="shared" si="195"/>
        <v>3421.93</v>
      </c>
      <c r="L226" s="253"/>
      <c r="M226" s="253"/>
    </row>
    <row r="227" spans="1:13" x14ac:dyDescent="0.25">
      <c r="A227" s="253"/>
      <c r="B227" s="258">
        <v>42625</v>
      </c>
      <c r="C227" s="253">
        <v>100</v>
      </c>
      <c r="D227" s="254">
        <v>30.8</v>
      </c>
      <c r="E227" s="254">
        <v>0</v>
      </c>
      <c r="F227" s="254">
        <f t="shared" si="194"/>
        <v>3080</v>
      </c>
      <c r="G227" s="258">
        <v>42713</v>
      </c>
      <c r="H227" s="259">
        <v>100</v>
      </c>
      <c r="I227" s="254">
        <v>34.79</v>
      </c>
      <c r="J227" s="254">
        <v>0.08</v>
      </c>
      <c r="K227" s="254">
        <f t="shared" si="195"/>
        <v>3478.92</v>
      </c>
      <c r="L227" s="253"/>
      <c r="M227" s="253"/>
    </row>
    <row r="228" spans="1:13" x14ac:dyDescent="0.25">
      <c r="A228" s="253"/>
      <c r="B228" s="258">
        <v>42639</v>
      </c>
      <c r="C228" s="253">
        <v>100</v>
      </c>
      <c r="D228" s="254">
        <v>30.08</v>
      </c>
      <c r="E228" s="254">
        <v>0</v>
      </c>
      <c r="F228" s="254">
        <f t="shared" si="194"/>
        <v>3008</v>
      </c>
      <c r="G228" s="258">
        <v>42718</v>
      </c>
      <c r="H228" s="259">
        <v>100</v>
      </c>
      <c r="I228" s="254">
        <v>35.21</v>
      </c>
      <c r="J228" s="254">
        <v>0.57999999999999996</v>
      </c>
      <c r="K228" s="254">
        <f t="shared" si="195"/>
        <v>3520.42</v>
      </c>
      <c r="L228" s="253"/>
      <c r="M228" s="253"/>
    </row>
    <row r="229" spans="1:13" x14ac:dyDescent="0.25">
      <c r="A229" s="253"/>
      <c r="B229" s="258">
        <v>42646</v>
      </c>
      <c r="C229" s="253">
        <v>100</v>
      </c>
      <c r="D229" s="254">
        <v>29.4</v>
      </c>
      <c r="E229" s="254">
        <v>0</v>
      </c>
      <c r="F229" s="254">
        <f t="shared" si="194"/>
        <v>2940</v>
      </c>
      <c r="G229" s="258">
        <v>42718</v>
      </c>
      <c r="H229" s="259">
        <v>100</v>
      </c>
      <c r="I229" s="254">
        <v>34.9</v>
      </c>
      <c r="J229" s="254">
        <v>0.08</v>
      </c>
      <c r="K229" s="254">
        <f t="shared" si="195"/>
        <v>3489.92</v>
      </c>
      <c r="L229" s="253"/>
      <c r="M229" s="253"/>
    </row>
    <row r="230" spans="1:13" x14ac:dyDescent="0.25">
      <c r="A230" s="253"/>
      <c r="B230" s="258">
        <v>42674</v>
      </c>
      <c r="C230" s="253">
        <v>100</v>
      </c>
      <c r="D230" s="254">
        <v>31.1</v>
      </c>
      <c r="E230" s="254">
        <v>0</v>
      </c>
      <c r="F230" s="254">
        <f t="shared" si="194"/>
        <v>3110</v>
      </c>
      <c r="G230" s="258">
        <v>42752</v>
      </c>
      <c r="H230" s="259">
        <v>100</v>
      </c>
      <c r="I230" s="254">
        <v>34.659999999999997</v>
      </c>
      <c r="J230" s="254">
        <v>0.08</v>
      </c>
      <c r="K230" s="254">
        <f t="shared" si="195"/>
        <v>3465.9199999999996</v>
      </c>
      <c r="L230" s="253"/>
      <c r="M230" s="253"/>
    </row>
    <row r="231" spans="1:13" x14ac:dyDescent="0.25">
      <c r="A231" s="253"/>
      <c r="B231" s="258">
        <v>42677</v>
      </c>
      <c r="C231" s="253">
        <v>200</v>
      </c>
      <c r="D231" s="254">
        <v>31.68</v>
      </c>
      <c r="E231" s="254">
        <v>0</v>
      </c>
      <c r="F231" s="254">
        <f t="shared" si="194"/>
        <v>6336</v>
      </c>
      <c r="G231" s="253"/>
      <c r="H231" s="253"/>
      <c r="I231" s="254"/>
      <c r="J231" s="254"/>
      <c r="K231" s="254"/>
      <c r="L231" s="253"/>
      <c r="M231" s="253"/>
    </row>
    <row r="232" spans="1:13" x14ac:dyDescent="0.25">
      <c r="A232" s="253"/>
      <c r="B232" s="258">
        <v>42677</v>
      </c>
      <c r="C232" s="253">
        <v>100</v>
      </c>
      <c r="D232" s="254">
        <v>31.2</v>
      </c>
      <c r="E232" s="254">
        <v>-0.5</v>
      </c>
      <c r="F232" s="254">
        <f t="shared" si="194"/>
        <v>3119.5</v>
      </c>
      <c r="G232" s="253"/>
      <c r="H232" s="253"/>
      <c r="I232" s="254"/>
      <c r="J232" s="254"/>
      <c r="K232" s="254"/>
      <c r="L232" s="253"/>
      <c r="M232" s="253"/>
    </row>
    <row r="233" spans="1:13" x14ac:dyDescent="0.25">
      <c r="A233" s="253"/>
      <c r="B233" s="258">
        <v>42716</v>
      </c>
      <c r="C233" s="253">
        <v>100</v>
      </c>
      <c r="D233" s="254">
        <v>34.18</v>
      </c>
      <c r="E233" s="254">
        <v>0</v>
      </c>
      <c r="F233" s="254">
        <f t="shared" si="194"/>
        <v>3418</v>
      </c>
      <c r="G233" s="253"/>
      <c r="H233" s="253"/>
      <c r="I233" s="254"/>
      <c r="J233" s="254"/>
      <c r="K233" s="254"/>
      <c r="L233" s="253"/>
      <c r="M233" s="253"/>
    </row>
    <row r="234" spans="1:13" x14ac:dyDescent="0.25">
      <c r="A234" s="253"/>
      <c r="B234" s="258"/>
      <c r="C234" s="253"/>
      <c r="D234" s="254"/>
      <c r="E234" s="254"/>
      <c r="F234" s="254"/>
      <c r="G234" s="253"/>
      <c r="H234" s="253"/>
      <c r="I234" s="254"/>
      <c r="J234" s="254"/>
      <c r="K234" s="254"/>
      <c r="L234" s="253"/>
      <c r="M234" s="253"/>
    </row>
    <row r="235" spans="1:13" x14ac:dyDescent="0.25">
      <c r="A235" s="253"/>
      <c r="B235" s="258"/>
      <c r="C235" s="253"/>
      <c r="D235" s="254"/>
      <c r="E235" s="254"/>
      <c r="F235" s="254"/>
      <c r="G235" s="253"/>
      <c r="H235" s="253"/>
      <c r="I235" s="254"/>
      <c r="J235" s="254"/>
      <c r="K235" s="254"/>
      <c r="L235" s="253"/>
      <c r="M235" s="253"/>
    </row>
    <row r="236" spans="1:13" x14ac:dyDescent="0.25">
      <c r="A236" s="253"/>
      <c r="B236" s="258"/>
      <c r="C236" s="253"/>
      <c r="D236" s="254"/>
      <c r="E236" s="254"/>
      <c r="F236" s="254"/>
      <c r="G236" s="253"/>
      <c r="H236" s="253"/>
      <c r="I236" s="254"/>
      <c r="J236" s="254"/>
      <c r="K236" s="254"/>
      <c r="L236" s="253"/>
      <c r="M236" s="18">
        <f>SUM(M210:M235)</f>
        <v>118.5</v>
      </c>
    </row>
    <row r="237" spans="1:13" x14ac:dyDescent="0.25">
      <c r="A237" s="253"/>
      <c r="B237" s="253"/>
      <c r="C237" s="253"/>
      <c r="D237" s="254"/>
      <c r="E237" s="254"/>
      <c r="F237" s="254"/>
      <c r="G237" s="253"/>
      <c r="H237" s="253"/>
      <c r="I237" s="254"/>
      <c r="J237" s="254"/>
      <c r="K237" s="254"/>
      <c r="L237" s="253"/>
    </row>
    <row r="238" spans="1:13" x14ac:dyDescent="0.25">
      <c r="A238" s="253"/>
      <c r="B238" s="253"/>
      <c r="C238" s="253"/>
      <c r="D238" s="254"/>
      <c r="E238" s="254"/>
      <c r="F238" s="254"/>
      <c r="G238" s="253"/>
      <c r="H238" s="253"/>
      <c r="I238" s="254"/>
      <c r="J238" s="254"/>
      <c r="K238" s="254"/>
      <c r="L238" s="253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844" priority="71">
      <formula>F78&gt;0</formula>
    </cfRule>
    <cfRule type="expression" dxfId="1843" priority="72">
      <formula>F78&lt;0</formula>
    </cfRule>
  </conditionalFormatting>
  <conditionalFormatting sqref="F129:F142 F145:F189 F192:F193">
    <cfRule type="expression" dxfId="1842" priority="67">
      <formula>F129&gt;0</formula>
    </cfRule>
    <cfRule type="expression" dxfId="1841" priority="68">
      <formula>F129&lt;0</formula>
    </cfRule>
  </conditionalFormatting>
  <conditionalFormatting sqref="F129:F142 F145:F189 F192:F193">
    <cfRule type="expression" dxfId="1840" priority="69">
      <formula>F129&gt;0</formula>
    </cfRule>
    <cfRule type="expression" dxfId="1839" priority="70">
      <formula>F129&lt;0</formula>
    </cfRule>
  </conditionalFormatting>
  <conditionalFormatting sqref="H124:H142 H145:H189 H192:H193">
    <cfRule type="expression" dxfId="1838" priority="65">
      <formula>H124&gt;0</formula>
    </cfRule>
    <cfRule type="expression" dxfId="1837" priority="66">
      <formula>H124&lt;0</formula>
    </cfRule>
  </conditionalFormatting>
  <conditionalFormatting sqref="F120:F123">
    <cfRule type="expression" dxfId="1836" priority="59">
      <formula>F120&gt;0</formula>
    </cfRule>
    <cfRule type="expression" dxfId="1835" priority="60">
      <formula>F120&lt;0</formula>
    </cfRule>
  </conditionalFormatting>
  <conditionalFormatting sqref="H120:H123">
    <cfRule type="expression" dxfId="1834" priority="57">
      <formula>H120&gt;0</formula>
    </cfRule>
    <cfRule type="expression" dxfId="1833" priority="58">
      <formula>H120&lt;0</formula>
    </cfRule>
  </conditionalFormatting>
  <conditionalFormatting sqref="Q8">
    <cfRule type="expression" dxfId="1832" priority="53">
      <formula>Q8&gt;0</formula>
    </cfRule>
    <cfRule type="expression" dxfId="1831" priority="54">
      <formula>Q8&lt;0</formula>
    </cfRule>
  </conditionalFormatting>
  <conditionalFormatting sqref="Q7">
    <cfRule type="expression" dxfId="1830" priority="55">
      <formula>Q7&gt;0</formula>
    </cfRule>
    <cfRule type="expression" dxfId="1829" priority="56">
      <formula>Q7&lt;0</formula>
    </cfRule>
  </conditionalFormatting>
  <conditionalFormatting sqref="F143">
    <cfRule type="expression" dxfId="1828" priority="49">
      <formula>F143&gt;0</formula>
    </cfRule>
    <cfRule type="expression" dxfId="1827" priority="50">
      <formula>F143&lt;0</formula>
    </cfRule>
  </conditionalFormatting>
  <conditionalFormatting sqref="F143">
    <cfRule type="expression" dxfId="1826" priority="51">
      <formula>F143&gt;0</formula>
    </cfRule>
    <cfRule type="expression" dxfId="1825" priority="52">
      <formula>F143&lt;0</formula>
    </cfRule>
  </conditionalFormatting>
  <conditionalFormatting sqref="H143">
    <cfRule type="expression" dxfId="1824" priority="47">
      <formula>H143&gt;0</formula>
    </cfRule>
    <cfRule type="expression" dxfId="1823" priority="48">
      <formula>H143&lt;0</formula>
    </cfRule>
  </conditionalFormatting>
  <conditionalFormatting sqref="F144">
    <cfRule type="expression" dxfId="1822" priority="43">
      <formula>F144&gt;0</formula>
    </cfRule>
    <cfRule type="expression" dxfId="1821" priority="44">
      <formula>F144&lt;0</formula>
    </cfRule>
  </conditionalFormatting>
  <conditionalFormatting sqref="F144">
    <cfRule type="expression" dxfId="1820" priority="45">
      <formula>F144&gt;0</formula>
    </cfRule>
    <cfRule type="expression" dxfId="1819" priority="46">
      <formula>F144&lt;0</formula>
    </cfRule>
  </conditionalFormatting>
  <conditionalFormatting sqref="H144">
    <cfRule type="expression" dxfId="1818" priority="41">
      <formula>H144&gt;0</formula>
    </cfRule>
    <cfRule type="expression" dxfId="1817" priority="42">
      <formula>H144&lt;0</formula>
    </cfRule>
  </conditionalFormatting>
  <conditionalFormatting sqref="F190:F191">
    <cfRule type="expression" dxfId="1816" priority="37">
      <formula>F190&gt;0</formula>
    </cfRule>
    <cfRule type="expression" dxfId="1815" priority="38">
      <formula>F190&lt;0</formula>
    </cfRule>
  </conditionalFormatting>
  <conditionalFormatting sqref="F190:F191">
    <cfRule type="expression" dxfId="1814" priority="39">
      <formula>F190&gt;0</formula>
    </cfRule>
    <cfRule type="expression" dxfId="1813" priority="40">
      <formula>F190&lt;0</formula>
    </cfRule>
  </conditionalFormatting>
  <conditionalFormatting sqref="H190:H191">
    <cfRule type="expression" dxfId="1812" priority="35">
      <formula>H190&gt;0</formula>
    </cfRule>
    <cfRule type="expression" dxfId="1811" priority="36">
      <formula>H190&lt;0</formula>
    </cfRule>
  </conditionalFormatting>
  <conditionalFormatting sqref="F48:F63">
    <cfRule type="expression" dxfId="1810" priority="33">
      <formula>F48&gt;0</formula>
    </cfRule>
    <cfRule type="expression" dxfId="1809" priority="34">
      <formula>F48&lt;0</formula>
    </cfRule>
  </conditionalFormatting>
  <conditionalFormatting sqref="H48:H63">
    <cfRule type="expression" dxfId="1808" priority="31">
      <formula>H48&gt;0</formula>
    </cfRule>
    <cfRule type="expression" dxfId="1807" priority="32">
      <formula>H48&lt;0</formula>
    </cfRule>
  </conditionalFormatting>
  <conditionalFormatting sqref="Q10">
    <cfRule type="expression" dxfId="1806" priority="29">
      <formula>Q10&gt;0</formula>
    </cfRule>
    <cfRule type="expression" dxfId="1805" priority="30">
      <formula>Q10&lt;0</formula>
    </cfRule>
  </conditionalFormatting>
  <conditionalFormatting sqref="J58:K58">
    <cfRule type="expression" dxfId="1804" priority="27">
      <formula>J58&gt;0</formula>
    </cfRule>
    <cfRule type="expression" dxfId="1803" priority="28">
      <formula>J58&lt;0</formula>
    </cfRule>
  </conditionalFormatting>
  <conditionalFormatting sqref="K59">
    <cfRule type="expression" dxfId="1802" priority="25">
      <formula>K59&gt;0</formula>
    </cfRule>
    <cfRule type="expression" dxfId="1801" priority="26">
      <formula>K59&lt;0</formula>
    </cfRule>
  </conditionalFormatting>
  <conditionalFormatting sqref="K60:K73">
    <cfRule type="expression" dxfId="1800" priority="23">
      <formula>K60&gt;0</formula>
    </cfRule>
    <cfRule type="expression" dxfId="1799" priority="24">
      <formula>K60&lt;0</formula>
    </cfRule>
  </conditionalFormatting>
  <conditionalFormatting sqref="F65:F73">
    <cfRule type="expression" dxfId="1798" priority="21">
      <formula>F65&gt;0</formula>
    </cfRule>
    <cfRule type="expression" dxfId="1797" priority="22">
      <formula>F65&lt;0</formula>
    </cfRule>
  </conditionalFormatting>
  <conditionalFormatting sqref="H65:H73">
    <cfRule type="expression" dxfId="1796" priority="19">
      <formula>H65&gt;0</formula>
    </cfRule>
    <cfRule type="expression" dxfId="1795" priority="20">
      <formula>H65&lt;0</formula>
    </cfRule>
  </conditionalFormatting>
  <conditionalFormatting sqref="R4">
    <cfRule type="expression" dxfId="1794" priority="17">
      <formula>R4&gt;0</formula>
    </cfRule>
    <cfRule type="expression" dxfId="1793" priority="18">
      <formula>R4&lt;0</formula>
    </cfRule>
  </conditionalFormatting>
  <conditionalFormatting sqref="Q9">
    <cfRule type="expression" dxfId="1792" priority="15">
      <formula>Q9&gt;0</formula>
    </cfRule>
    <cfRule type="expression" dxfId="1791" priority="16">
      <formula>Q9&lt;0</formula>
    </cfRule>
  </conditionalFormatting>
  <conditionalFormatting sqref="K74:K77">
    <cfRule type="expression" dxfId="1790" priority="13">
      <formula>K74&gt;0</formula>
    </cfRule>
    <cfRule type="expression" dxfId="1789" priority="14">
      <formula>K74&lt;0</formula>
    </cfRule>
  </conditionalFormatting>
  <conditionalFormatting sqref="F74:F97">
    <cfRule type="expression" dxfId="1788" priority="11">
      <formula>F74&gt;0</formula>
    </cfRule>
    <cfRule type="expression" dxfId="1787" priority="12">
      <formula>F74&lt;0</formula>
    </cfRule>
  </conditionalFormatting>
  <conditionalFormatting sqref="H74:H97">
    <cfRule type="expression" dxfId="1786" priority="9">
      <formula>H74&gt;0</formula>
    </cfRule>
    <cfRule type="expression" dxfId="1785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5">
    <cfRule type="expression" dxfId="1784" priority="5">
      <formula>F98&gt;0</formula>
    </cfRule>
    <cfRule type="expression" dxfId="1783" priority="6">
      <formula>F98&lt;0</formula>
    </cfRule>
  </conditionalFormatting>
  <conditionalFormatting sqref="H98:H115">
    <cfRule type="expression" dxfId="1782" priority="3">
      <formula>H98&gt;0</formula>
    </cfRule>
    <cfRule type="expression" dxfId="1781" priority="4">
      <formula>H98&lt;0</formula>
    </cfRule>
  </conditionalFormatting>
  <conditionalFormatting sqref="K113:K115">
    <cfRule type="expression" dxfId="1780" priority="1">
      <formula>K113&gt;0</formula>
    </cfRule>
    <cfRule type="expression" dxfId="1779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78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4" t="s">
        <v>1</v>
      </c>
      <c r="B33" s="514" t="s">
        <v>2</v>
      </c>
      <c r="C33" s="514" t="s">
        <v>4</v>
      </c>
      <c r="D33" s="515" t="s">
        <v>5</v>
      </c>
      <c r="E33" s="515" t="s">
        <v>94</v>
      </c>
      <c r="F33" s="515" t="s">
        <v>60</v>
      </c>
      <c r="G33" s="514" t="s">
        <v>3</v>
      </c>
      <c r="H33" s="514" t="s">
        <v>6</v>
      </c>
      <c r="I33" s="515" t="s">
        <v>7</v>
      </c>
      <c r="J33" s="515" t="s">
        <v>95</v>
      </c>
      <c r="K33" s="515" t="s">
        <v>61</v>
      </c>
      <c r="L33" s="514" t="s">
        <v>37</v>
      </c>
      <c r="M33" s="51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6" t="s">
        <v>197</v>
      </c>
      <c r="B34" s="499">
        <v>42488</v>
      </c>
      <c r="C34" s="500">
        <v>100</v>
      </c>
      <c r="D34" s="502">
        <v>13.8</v>
      </c>
      <c r="E34" s="502">
        <v>0</v>
      </c>
      <c r="F34" s="502">
        <f t="shared" ref="F34:F40" si="2">D34*C34+E34</f>
        <v>1380</v>
      </c>
      <c r="G34" s="499">
        <v>42515</v>
      </c>
      <c r="H34" s="500">
        <v>100</v>
      </c>
      <c r="I34" s="502">
        <v>13.59</v>
      </c>
      <c r="J34" s="502">
        <v>0.03</v>
      </c>
      <c r="K34" s="502">
        <f t="shared" ref="K34:K39" si="3">I34*H34-J34</f>
        <v>1358.97</v>
      </c>
      <c r="L34" s="499">
        <v>42614</v>
      </c>
      <c r="M34" s="50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8" t="s">
        <v>71</v>
      </c>
      <c r="B35" s="499">
        <v>42507</v>
      </c>
      <c r="C35" s="500">
        <v>100</v>
      </c>
      <c r="D35" s="502">
        <v>13.08</v>
      </c>
      <c r="E35" s="502">
        <v>0</v>
      </c>
      <c r="F35" s="502">
        <f t="shared" si="2"/>
        <v>1308</v>
      </c>
      <c r="G35" s="499">
        <v>42559</v>
      </c>
      <c r="H35" s="517">
        <v>100</v>
      </c>
      <c r="I35" s="502">
        <v>13.08</v>
      </c>
      <c r="J35" s="502">
        <v>0.03</v>
      </c>
      <c r="K35" s="502">
        <f t="shared" si="3"/>
        <v>1307.97</v>
      </c>
      <c r="L35" s="499">
        <v>42705</v>
      </c>
      <c r="M35" s="50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0"/>
      <c r="B36" s="499">
        <v>42545</v>
      </c>
      <c r="C36" s="500">
        <v>50</v>
      </c>
      <c r="D36" s="502">
        <v>12.75</v>
      </c>
      <c r="E36" s="502">
        <v>0</v>
      </c>
      <c r="F36" s="502">
        <f t="shared" si="2"/>
        <v>637.5</v>
      </c>
      <c r="G36" s="499">
        <v>42577</v>
      </c>
      <c r="H36" s="517">
        <v>50</v>
      </c>
      <c r="I36" s="502">
        <v>13.78</v>
      </c>
      <c r="J36" s="502">
        <v>0.02</v>
      </c>
      <c r="K36" s="502">
        <f t="shared" si="3"/>
        <v>688.98</v>
      </c>
      <c r="L36" s="500"/>
      <c r="M36" s="50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0"/>
      <c r="B37" s="499">
        <v>42545</v>
      </c>
      <c r="C37" s="500">
        <v>100</v>
      </c>
      <c r="D37" s="502">
        <v>12.75</v>
      </c>
      <c r="E37" s="502">
        <v>0</v>
      </c>
      <c r="F37" s="502">
        <f t="shared" si="2"/>
        <v>1275</v>
      </c>
      <c r="G37" s="499">
        <v>42620</v>
      </c>
      <c r="H37" s="517">
        <v>100</v>
      </c>
      <c r="I37" s="502">
        <v>12.7</v>
      </c>
      <c r="J37" s="502">
        <v>0.53</v>
      </c>
      <c r="K37" s="502">
        <f t="shared" si="3"/>
        <v>1269.47</v>
      </c>
      <c r="L37" s="500"/>
      <c r="M37" s="50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0"/>
      <c r="B38" s="499">
        <v>42548</v>
      </c>
      <c r="C38" s="500">
        <v>150</v>
      </c>
      <c r="D38" s="502">
        <v>12.18</v>
      </c>
      <c r="E38" s="502">
        <v>0</v>
      </c>
      <c r="F38" s="502">
        <f t="shared" si="2"/>
        <v>1827</v>
      </c>
      <c r="G38" s="499">
        <v>42684</v>
      </c>
      <c r="H38" s="517">
        <v>250</v>
      </c>
      <c r="I38" s="502">
        <v>11.94</v>
      </c>
      <c r="J38" s="502">
        <v>7.0000000000000007E-2</v>
      </c>
      <c r="K38" s="502">
        <f t="shared" si="3"/>
        <v>2984.93</v>
      </c>
      <c r="L38" s="500"/>
      <c r="M38" s="50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0"/>
      <c r="B39" s="499">
        <v>42627</v>
      </c>
      <c r="C39" s="500">
        <v>100</v>
      </c>
      <c r="D39" s="502">
        <v>12.14</v>
      </c>
      <c r="E39" s="502">
        <v>0</v>
      </c>
      <c r="F39" s="502">
        <f t="shared" si="2"/>
        <v>1214</v>
      </c>
      <c r="G39" s="499">
        <v>42711</v>
      </c>
      <c r="H39" s="517">
        <v>200</v>
      </c>
      <c r="I39" s="502">
        <v>12.68</v>
      </c>
      <c r="J39" s="502">
        <v>0.06</v>
      </c>
      <c r="K39" s="502">
        <f t="shared" si="3"/>
        <v>2535.94</v>
      </c>
      <c r="L39" s="500"/>
      <c r="M39" s="50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0"/>
      <c r="B40" s="499">
        <v>42670</v>
      </c>
      <c r="C40" s="500">
        <v>200</v>
      </c>
      <c r="D40" s="502">
        <v>11.68</v>
      </c>
      <c r="E40" s="502">
        <v>0</v>
      </c>
      <c r="F40" s="502">
        <f t="shared" si="2"/>
        <v>2336</v>
      </c>
      <c r="G40" s="500"/>
      <c r="H40" s="517"/>
      <c r="I40" s="502"/>
      <c r="J40" s="502"/>
      <c r="K40" s="502"/>
      <c r="L40" s="500"/>
      <c r="M40" s="500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0"/>
      <c r="B41" s="500"/>
      <c r="C41" s="500"/>
      <c r="D41" s="502"/>
      <c r="E41" s="502"/>
      <c r="F41" s="502"/>
      <c r="G41" s="500"/>
      <c r="H41" s="517"/>
      <c r="I41" s="502"/>
      <c r="J41" s="502"/>
      <c r="K41" s="502"/>
      <c r="L41" s="500"/>
      <c r="M41" s="500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0"/>
      <c r="M42" s="500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0"/>
      <c r="B43" s="500"/>
      <c r="C43" s="500"/>
      <c r="D43" s="502"/>
      <c r="E43" s="502"/>
      <c r="F43" s="502"/>
      <c r="G43" s="500"/>
      <c r="H43" s="517"/>
      <c r="I43" s="502"/>
      <c r="J43" s="502"/>
      <c r="K43" s="502"/>
      <c r="L43" s="500"/>
      <c r="M43" s="500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0"/>
      <c r="B44" s="500"/>
      <c r="C44" s="500"/>
      <c r="D44" s="502"/>
      <c r="E44" s="502"/>
      <c r="F44" s="502"/>
      <c r="G44" s="500"/>
      <c r="H44" s="517"/>
      <c r="I44" s="502"/>
      <c r="J44" s="502"/>
      <c r="K44" s="502"/>
      <c r="L44" s="500"/>
      <c r="M44" s="500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0"/>
      <c r="B45" s="500"/>
      <c r="C45" s="500"/>
      <c r="D45" s="502"/>
      <c r="E45" s="502"/>
      <c r="F45" s="502"/>
      <c r="G45" s="500"/>
      <c r="H45" s="517"/>
      <c r="I45" s="502"/>
      <c r="J45" s="502"/>
      <c r="K45" s="502"/>
      <c r="L45" s="500"/>
      <c r="M45" s="500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0"/>
      <c r="B46" s="500"/>
      <c r="C46" s="500"/>
      <c r="D46" s="502"/>
      <c r="E46" s="502"/>
      <c r="F46" s="502"/>
      <c r="G46" s="500"/>
      <c r="H46" s="517"/>
      <c r="I46" s="502"/>
      <c r="J46" s="502"/>
      <c r="K46" s="502"/>
      <c r="L46" s="500"/>
      <c r="M46" s="500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0"/>
      <c r="B47" s="500"/>
      <c r="C47" s="500"/>
      <c r="D47" s="502"/>
      <c r="E47" s="502"/>
      <c r="F47" s="502"/>
      <c r="G47" s="500"/>
      <c r="H47" s="517"/>
      <c r="I47" s="502"/>
      <c r="J47" s="502"/>
      <c r="K47" s="502"/>
      <c r="L47" s="500"/>
      <c r="M47" s="500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0"/>
      <c r="B48" s="500"/>
      <c r="C48" s="500"/>
      <c r="D48" s="502"/>
      <c r="E48" s="502"/>
      <c r="F48" s="502"/>
      <c r="G48" s="500"/>
      <c r="H48" s="517"/>
      <c r="I48" s="502"/>
      <c r="J48" s="502"/>
      <c r="K48" s="502"/>
      <c r="L48" s="500"/>
      <c r="M48" s="500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0"/>
      <c r="B49" s="500"/>
      <c r="C49" s="500"/>
      <c r="D49" s="502"/>
      <c r="E49" s="502"/>
      <c r="F49" s="502"/>
      <c r="G49" s="500"/>
      <c r="H49" s="517"/>
      <c r="I49" s="502"/>
      <c r="J49" s="502"/>
      <c r="K49" s="502"/>
      <c r="L49" s="500"/>
      <c r="M49" s="500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9" t="s">
        <v>81</v>
      </c>
      <c r="B50" s="520"/>
      <c r="C50" s="520">
        <f>SUM(C34:C40)</f>
        <v>800</v>
      </c>
      <c r="D50" s="521"/>
      <c r="E50" s="521"/>
      <c r="F50" s="521">
        <f>SUM(F34:F49)</f>
        <v>12073.5</v>
      </c>
      <c r="G50" s="520"/>
      <c r="H50" s="520">
        <f>SUM(H34:H49)</f>
        <v>1000</v>
      </c>
      <c r="I50" s="521"/>
      <c r="J50" s="521"/>
      <c r="K50" s="521">
        <f>SUM(K34:K49)</f>
        <v>12486.21</v>
      </c>
      <c r="L50" s="520"/>
      <c r="M50" s="521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2" t="s">
        <v>194</v>
      </c>
      <c r="B51" s="523"/>
      <c r="C51" s="524">
        <f>SumByColor($A$19,C34:C49)</f>
        <v>0</v>
      </c>
      <c r="D51" s="524"/>
      <c r="E51" s="524"/>
      <c r="F51" s="525">
        <f>SumByColor($A$19,F34:F49)</f>
        <v>0</v>
      </c>
      <c r="G51" s="524"/>
      <c r="H51" s="524">
        <f>SumByColor($A$19,H34:H49)</f>
        <v>0</v>
      </c>
      <c r="I51" s="524"/>
      <c r="J51" s="524"/>
      <c r="K51" s="525">
        <f>SumByColor($A$19,K34:K49)</f>
        <v>0</v>
      </c>
      <c r="L51" s="524"/>
      <c r="M51" s="525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4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7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7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8" priority="31">
      <formula>Q7&gt;0</formula>
    </cfRule>
    <cfRule type="expression" dxfId="1777" priority="32">
      <formula>Q7&lt;0</formula>
    </cfRule>
  </conditionalFormatting>
  <conditionalFormatting sqref="Q8">
    <cfRule type="expression" dxfId="1776" priority="29">
      <formula>Q8&gt;0</formula>
    </cfRule>
    <cfRule type="expression" dxfId="1775" priority="30">
      <formula>Q8&lt;0</formula>
    </cfRule>
  </conditionalFormatting>
  <conditionalFormatting sqref="F62:F65">
    <cfRule type="expression" dxfId="1774" priority="21">
      <formula>F62&gt;0</formula>
    </cfRule>
    <cfRule type="expression" dxfId="1773" priority="22">
      <formula>F62&lt;0</formula>
    </cfRule>
  </conditionalFormatting>
  <conditionalFormatting sqref="F66:F74 F78:F98 F102:F106">
    <cfRule type="expression" dxfId="1772" priority="17">
      <formula>F66&gt;0</formula>
    </cfRule>
    <cfRule type="expression" dxfId="1771" priority="18">
      <formula>F66&lt;0</formula>
    </cfRule>
  </conditionalFormatting>
  <conditionalFormatting sqref="F66:F74 F78:F98 F102:F106">
    <cfRule type="expression" dxfId="1770" priority="19">
      <formula>F66&gt;0</formula>
    </cfRule>
    <cfRule type="expression" dxfId="1769" priority="20">
      <formula>F66&lt;0</formula>
    </cfRule>
  </conditionalFormatting>
  <conditionalFormatting sqref="H62:H74 H78:H98 H102:H106">
    <cfRule type="expression" dxfId="1768" priority="15">
      <formula>H62&gt;0</formula>
    </cfRule>
    <cfRule type="expression" dxfId="1767" priority="16">
      <formula>H62&lt;0</formula>
    </cfRule>
  </conditionalFormatting>
  <conditionalFormatting sqref="F57:F61">
    <cfRule type="expression" dxfId="1766" priority="13">
      <formula>F57&gt;0</formula>
    </cfRule>
    <cfRule type="expression" dxfId="1765" priority="14">
      <formula>F57&lt;0</formula>
    </cfRule>
  </conditionalFormatting>
  <conditionalFormatting sqref="H57:H61">
    <cfRule type="expression" dxfId="1764" priority="11">
      <formula>H57&gt;0</formula>
    </cfRule>
    <cfRule type="expression" dxfId="1763" priority="12">
      <formula>H57&lt;0</formula>
    </cfRule>
  </conditionalFormatting>
  <conditionalFormatting sqref="F75:F77">
    <cfRule type="expression" dxfId="1762" priority="7">
      <formula>F75&gt;0</formula>
    </cfRule>
    <cfRule type="expression" dxfId="1761" priority="8">
      <formula>F75&lt;0</formula>
    </cfRule>
  </conditionalFormatting>
  <conditionalFormatting sqref="F75:F77">
    <cfRule type="expression" dxfId="1760" priority="9">
      <formula>F75&gt;0</formula>
    </cfRule>
    <cfRule type="expression" dxfId="1759" priority="10">
      <formula>F75&lt;0</formula>
    </cfRule>
  </conditionalFormatting>
  <conditionalFormatting sqref="H75:H77">
    <cfRule type="expression" dxfId="1758" priority="5">
      <formula>H75&gt;0</formula>
    </cfRule>
    <cfRule type="expression" dxfId="1757" priority="6">
      <formula>H75&lt;0</formula>
    </cfRule>
  </conditionalFormatting>
  <conditionalFormatting sqref="F22:F30">
    <cfRule type="expression" dxfId="1756" priority="3">
      <formula>F22&gt;0</formula>
    </cfRule>
    <cfRule type="expression" dxfId="1755" priority="4">
      <formula>F22&lt;0</formula>
    </cfRule>
  </conditionalFormatting>
  <conditionalFormatting sqref="F99:F101">
    <cfRule type="expression" dxfId="1754" priority="1">
      <formula>F99&gt;0</formula>
    </cfRule>
    <cfRule type="expression" dxfId="175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0"/>
      <c r="C2" s="4"/>
      <c r="D2" s="3"/>
      <c r="E2" s="3"/>
      <c r="F2" s="3"/>
      <c r="G2" s="480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78">
        <v>1.6E-2</v>
      </c>
      <c r="T4" s="158"/>
      <c r="U4" s="1"/>
    </row>
    <row r="5" spans="1:2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1" t="s">
        <v>1</v>
      </c>
      <c r="B75" s="629" t="s">
        <v>2</v>
      </c>
      <c r="C75" s="371" t="s">
        <v>4</v>
      </c>
      <c r="D75" s="373" t="s">
        <v>5</v>
      </c>
      <c r="E75" s="373" t="s">
        <v>94</v>
      </c>
      <c r="F75" s="373" t="s">
        <v>60</v>
      </c>
      <c r="G75" s="371" t="s">
        <v>3</v>
      </c>
      <c r="H75" s="371" t="s">
        <v>6</v>
      </c>
      <c r="I75" s="373" t="s">
        <v>7</v>
      </c>
      <c r="J75" s="373" t="s">
        <v>95</v>
      </c>
      <c r="K75" s="373" t="s">
        <v>61</v>
      </c>
      <c r="L75" s="371" t="s">
        <v>37</v>
      </c>
      <c r="M75" s="371" t="s">
        <v>38</v>
      </c>
    </row>
    <row r="76" spans="1:13" x14ac:dyDescent="0.25">
      <c r="A76" s="374" t="s">
        <v>271</v>
      </c>
      <c r="B76" s="624">
        <v>42622</v>
      </c>
      <c r="C76" s="365">
        <v>15</v>
      </c>
      <c r="D76" s="366">
        <v>118.5</v>
      </c>
      <c r="E76" s="366">
        <v>0</v>
      </c>
      <c r="F76" s="366">
        <f>C76*D76+E76</f>
        <v>1777.5</v>
      </c>
      <c r="G76" s="624">
        <v>42760</v>
      </c>
      <c r="H76" s="369">
        <v>15</v>
      </c>
      <c r="I76" s="366">
        <v>112.7</v>
      </c>
      <c r="J76" s="366">
        <v>0.04</v>
      </c>
      <c r="K76" s="366">
        <f>H76*I76-J76</f>
        <v>1690.46</v>
      </c>
      <c r="L76" s="364">
        <v>42710</v>
      </c>
      <c r="M76" s="366">
        <v>16</v>
      </c>
    </row>
    <row r="77" spans="1:13" x14ac:dyDescent="0.25">
      <c r="A77" s="375" t="s">
        <v>71</v>
      </c>
      <c r="B77" s="624">
        <v>42622</v>
      </c>
      <c r="C77" s="365">
        <v>5</v>
      </c>
      <c r="D77" s="366">
        <v>118.5</v>
      </c>
      <c r="E77" s="366">
        <v>0</v>
      </c>
      <c r="F77" s="366">
        <f>C77*D77+E77</f>
        <v>592.5</v>
      </c>
      <c r="G77" s="624">
        <v>42776</v>
      </c>
      <c r="H77" s="369">
        <v>15</v>
      </c>
      <c r="I77" s="366">
        <v>115.18</v>
      </c>
      <c r="J77" s="366">
        <v>0.04</v>
      </c>
      <c r="K77" s="366">
        <f>H77*I77-J77</f>
        <v>1727.66</v>
      </c>
      <c r="L77" s="365"/>
      <c r="M77" s="365"/>
    </row>
    <row r="78" spans="1:13" x14ac:dyDescent="0.25">
      <c r="A78" s="365"/>
      <c r="B78" s="624">
        <v>42704</v>
      </c>
      <c r="C78" s="365">
        <v>10</v>
      </c>
      <c r="D78" s="366">
        <v>111.48</v>
      </c>
      <c r="E78" s="366">
        <v>0</v>
      </c>
      <c r="F78" s="366">
        <f>C78*D78+E78</f>
        <v>1114.8</v>
      </c>
      <c r="G78" s="624">
        <v>42796</v>
      </c>
      <c r="H78" s="369">
        <v>15</v>
      </c>
      <c r="I78" s="366">
        <v>124.08</v>
      </c>
      <c r="J78" s="366">
        <v>0.04</v>
      </c>
      <c r="K78" s="366">
        <f>H78*I78-J78</f>
        <v>1861.16</v>
      </c>
      <c r="L78" s="365"/>
      <c r="M78" s="365"/>
    </row>
    <row r="79" spans="1:13" x14ac:dyDescent="0.25">
      <c r="A79" s="365"/>
      <c r="B79" s="624">
        <v>42759</v>
      </c>
      <c r="C79" s="365">
        <v>15</v>
      </c>
      <c r="D79" s="366">
        <v>111.18</v>
      </c>
      <c r="E79" s="366">
        <v>0</v>
      </c>
      <c r="F79" s="366">
        <f>C79*D79+E79</f>
        <v>1667.7</v>
      </c>
      <c r="G79" s="624"/>
      <c r="H79" s="369"/>
      <c r="I79" s="366"/>
      <c r="J79" s="366"/>
      <c r="K79" s="366"/>
      <c r="L79" s="364">
        <v>42808</v>
      </c>
      <c r="M79" s="365">
        <v>12</v>
      </c>
    </row>
    <row r="80" spans="1:13" x14ac:dyDescent="0.25">
      <c r="A80" s="365"/>
      <c r="B80" s="624"/>
      <c r="C80" s="365"/>
      <c r="D80" s="366"/>
      <c r="E80" s="366"/>
      <c r="F80" s="366"/>
      <c r="G80" s="624"/>
      <c r="H80" s="369"/>
      <c r="I80" s="366"/>
      <c r="J80" s="366"/>
      <c r="K80" s="366"/>
      <c r="L80" s="365"/>
      <c r="M80" s="365"/>
    </row>
    <row r="81" spans="1:13" x14ac:dyDescent="0.25">
      <c r="A81" s="365"/>
      <c r="B81" s="624"/>
      <c r="C81" s="365"/>
      <c r="D81" s="366"/>
      <c r="E81" s="366"/>
      <c r="F81" s="366"/>
      <c r="G81" s="624"/>
      <c r="H81" s="369"/>
      <c r="I81" s="366"/>
      <c r="J81" s="366"/>
      <c r="K81" s="366"/>
      <c r="L81" s="365"/>
      <c r="M81" s="365"/>
    </row>
    <row r="82" spans="1:13" x14ac:dyDescent="0.25">
      <c r="A82" s="365"/>
      <c r="B82" s="624"/>
      <c r="C82" s="365"/>
      <c r="D82" s="366"/>
      <c r="E82" s="366"/>
      <c r="F82" s="366"/>
      <c r="G82" s="624"/>
      <c r="H82" s="369"/>
      <c r="I82" s="366"/>
      <c r="J82" s="366"/>
      <c r="K82" s="366"/>
      <c r="L82" s="365"/>
      <c r="M82" s="365"/>
    </row>
    <row r="83" spans="1:13" x14ac:dyDescent="0.25">
      <c r="A83" s="365"/>
      <c r="B83" s="624"/>
      <c r="C83" s="365"/>
      <c r="D83" s="366"/>
      <c r="E83" s="366"/>
      <c r="F83" s="366"/>
      <c r="G83" s="624"/>
      <c r="H83" s="369"/>
      <c r="I83" s="366"/>
      <c r="J83" s="366"/>
      <c r="K83" s="366"/>
      <c r="L83" s="365"/>
      <c r="M83" s="365"/>
    </row>
    <row r="84" spans="1:13" x14ac:dyDescent="0.25">
      <c r="A84" s="365"/>
      <c r="B84" s="624"/>
      <c r="C84" s="365"/>
      <c r="D84" s="366"/>
      <c r="E84" s="366"/>
      <c r="F84" s="366"/>
      <c r="G84" s="624"/>
      <c r="H84" s="369"/>
      <c r="I84" s="366"/>
      <c r="J84" s="366"/>
      <c r="K84" s="366"/>
      <c r="L84" s="365"/>
      <c r="M84" s="365"/>
    </row>
    <row r="85" spans="1:13" x14ac:dyDescent="0.25">
      <c r="A85" s="365"/>
      <c r="B85" s="624"/>
      <c r="C85" s="365"/>
      <c r="D85" s="366"/>
      <c r="E85" s="366"/>
      <c r="F85" s="366"/>
      <c r="G85" s="624"/>
      <c r="H85" s="369"/>
      <c r="I85" s="366"/>
      <c r="J85" s="366"/>
      <c r="K85" s="366"/>
      <c r="L85" s="365"/>
      <c r="M85" s="365"/>
    </row>
    <row r="86" spans="1:13" x14ac:dyDescent="0.25">
      <c r="A86" s="365"/>
      <c r="B86" s="624"/>
      <c r="C86" s="365"/>
      <c r="D86" s="366"/>
      <c r="E86" s="366"/>
      <c r="F86" s="366"/>
      <c r="G86" s="624"/>
      <c r="H86" s="369"/>
      <c r="I86" s="366"/>
      <c r="J86" s="366"/>
      <c r="K86" s="366"/>
      <c r="L86" s="365"/>
      <c r="M86" s="365"/>
    </row>
    <row r="87" spans="1:13" x14ac:dyDescent="0.25">
      <c r="A87" s="365"/>
      <c r="B87" s="624"/>
      <c r="C87" s="365"/>
      <c r="D87" s="366"/>
      <c r="E87" s="366"/>
      <c r="F87" s="366"/>
      <c r="G87" s="624"/>
      <c r="H87" s="369"/>
      <c r="I87" s="366"/>
      <c r="J87" s="366"/>
      <c r="K87" s="366"/>
      <c r="L87" s="365"/>
      <c r="M87" s="365"/>
    </row>
    <row r="88" spans="1:13" x14ac:dyDescent="0.25">
      <c r="A88" s="365"/>
      <c r="B88" s="624"/>
      <c r="C88" s="365"/>
      <c r="D88" s="366"/>
      <c r="E88" s="366"/>
      <c r="F88" s="366"/>
      <c r="G88" s="624"/>
      <c r="H88" s="369"/>
      <c r="I88" s="366"/>
      <c r="J88" s="366"/>
      <c r="K88" s="366"/>
      <c r="L88" s="365"/>
      <c r="M88" s="365"/>
    </row>
    <row r="89" spans="1:13" x14ac:dyDescent="0.25">
      <c r="A89" s="365"/>
      <c r="B89" s="624"/>
      <c r="C89" s="365"/>
      <c r="D89" s="366"/>
      <c r="E89" s="366"/>
      <c r="F89" s="366"/>
      <c r="G89" s="624"/>
      <c r="H89" s="369"/>
      <c r="I89" s="366"/>
      <c r="J89" s="366"/>
      <c r="K89" s="366"/>
      <c r="L89" s="365"/>
      <c r="M89" s="365"/>
    </row>
    <row r="90" spans="1:13" x14ac:dyDescent="0.25">
      <c r="A90" s="365"/>
      <c r="B90" s="624"/>
      <c r="C90" s="365"/>
      <c r="D90" s="366"/>
      <c r="E90" s="366"/>
      <c r="F90" s="366"/>
      <c r="G90" s="624"/>
      <c r="H90" s="369"/>
      <c r="I90" s="366"/>
      <c r="J90" s="366"/>
      <c r="K90" s="366"/>
      <c r="L90" s="365"/>
      <c r="M90" s="365"/>
    </row>
    <row r="91" spans="1:13" x14ac:dyDescent="0.25">
      <c r="A91" s="365"/>
      <c r="B91" s="624"/>
      <c r="C91" s="365"/>
      <c r="D91" s="366"/>
      <c r="E91" s="366"/>
      <c r="F91" s="366"/>
      <c r="G91" s="624"/>
      <c r="H91" s="365"/>
      <c r="I91" s="366"/>
      <c r="J91" s="366"/>
      <c r="K91" s="366"/>
      <c r="L91" s="365"/>
      <c r="M91" s="365"/>
    </row>
    <row r="92" spans="1:13" x14ac:dyDescent="0.25">
      <c r="A92" s="21" t="s">
        <v>81</v>
      </c>
      <c r="B92" s="63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7" t="s">
        <v>194</v>
      </c>
      <c r="B93" s="631"/>
      <c r="C93" s="449">
        <f>SumByColor($A$19,C76:C91)</f>
        <v>0</v>
      </c>
      <c r="D93" s="449"/>
      <c r="E93" s="449"/>
      <c r="F93" s="450">
        <f>SumByColor($A$19,F76:F91)</f>
        <v>0</v>
      </c>
      <c r="G93" s="449"/>
      <c r="H93" s="449">
        <f>SumByColor($A$19,H76:H91)</f>
        <v>0</v>
      </c>
      <c r="I93" s="449"/>
      <c r="J93" s="449"/>
      <c r="K93" s="450">
        <f>SumByColor($A$19,K76:K91)</f>
        <v>0</v>
      </c>
      <c r="L93" s="449"/>
      <c r="M93" s="450">
        <f>SumByColor($A$19,M76:M91)</f>
        <v>0</v>
      </c>
    </row>
    <row r="102" spans="1:12" x14ac:dyDescent="0.25">
      <c r="A102" s="365"/>
      <c r="B102" s="624"/>
      <c r="C102" s="365"/>
      <c r="D102" s="366"/>
      <c r="E102" s="366"/>
      <c r="F102" s="366"/>
      <c r="G102" s="365"/>
      <c r="H102" s="365"/>
      <c r="I102" s="366"/>
      <c r="J102" s="366"/>
      <c r="K102" s="366"/>
      <c r="L102" s="365"/>
    </row>
    <row r="103" spans="1:12" x14ac:dyDescent="0.25">
      <c r="A103" s="365"/>
      <c r="B103" s="624"/>
      <c r="C103" s="365"/>
      <c r="D103" s="366"/>
      <c r="E103" s="366"/>
      <c r="F103" s="366"/>
      <c r="G103" s="365"/>
      <c r="H103" s="365"/>
      <c r="I103" s="366"/>
      <c r="J103" s="366"/>
      <c r="K103" s="366"/>
      <c r="L103" s="365"/>
    </row>
    <row r="104" spans="1:12" x14ac:dyDescent="0.25">
      <c r="A104" s="365"/>
      <c r="B104" s="622" t="s">
        <v>113</v>
      </c>
      <c r="C104" s="487" t="s">
        <v>146</v>
      </c>
      <c r="D104" s="488" t="s">
        <v>145</v>
      </c>
      <c r="E104" s="489" t="s">
        <v>147</v>
      </c>
      <c r="F104" s="489" t="s">
        <v>65</v>
      </c>
      <c r="G104" s="491" t="s">
        <v>151</v>
      </c>
      <c r="H104" s="491" t="s">
        <v>88</v>
      </c>
      <c r="I104" s="491" t="s">
        <v>154</v>
      </c>
      <c r="J104" s="366"/>
      <c r="K104" s="366"/>
      <c r="L104" s="365"/>
    </row>
    <row r="105" spans="1:12" x14ac:dyDescent="0.25">
      <c r="A105" s="365"/>
      <c r="B105" s="624">
        <v>42622</v>
      </c>
      <c r="C105" s="365">
        <v>20</v>
      </c>
      <c r="D105" s="366">
        <v>118.5</v>
      </c>
      <c r="E105" s="366">
        <v>118.23</v>
      </c>
      <c r="F105" s="366">
        <f t="shared" ref="F105:F117" si="1">C105*(E105-D105)</f>
        <v>-5.3999999999999204</v>
      </c>
      <c r="G105" s="366">
        <f t="shared" ref="G105:G117" si="2">D105*C105</f>
        <v>2370</v>
      </c>
      <c r="H105" s="367">
        <f t="shared" ref="H105:H117" si="3">(E105-D105)/D105</f>
        <v>-2.2784810126581941E-3</v>
      </c>
      <c r="I105" s="366"/>
      <c r="J105" s="366"/>
      <c r="K105" s="366"/>
      <c r="L105" s="365"/>
    </row>
    <row r="106" spans="1:12" x14ac:dyDescent="0.25">
      <c r="A106" s="365"/>
      <c r="B106" s="624">
        <v>42627</v>
      </c>
      <c r="C106" s="365">
        <v>20</v>
      </c>
      <c r="D106" s="366">
        <v>118.5</v>
      </c>
      <c r="E106" s="366">
        <v>117.86</v>
      </c>
      <c r="F106" s="366">
        <f t="shared" si="1"/>
        <v>-12.800000000000011</v>
      </c>
      <c r="G106" s="366">
        <f t="shared" si="2"/>
        <v>2370</v>
      </c>
      <c r="H106" s="367">
        <f t="shared" si="3"/>
        <v>-5.400843881856545E-3</v>
      </c>
      <c r="I106" s="366"/>
      <c r="J106" s="366"/>
      <c r="K106" s="366"/>
      <c r="L106" s="365"/>
    </row>
    <row r="107" spans="1:12" x14ac:dyDescent="0.25">
      <c r="A107" s="365"/>
      <c r="B107" s="624">
        <v>42634</v>
      </c>
      <c r="C107" s="365">
        <v>20</v>
      </c>
      <c r="D107" s="366">
        <v>118.5</v>
      </c>
      <c r="E107" s="366">
        <v>118.91</v>
      </c>
      <c r="F107" s="366">
        <f t="shared" si="1"/>
        <v>8.1999999999999318</v>
      </c>
      <c r="G107" s="366">
        <f t="shared" si="2"/>
        <v>2370</v>
      </c>
      <c r="H107" s="367">
        <f t="shared" si="3"/>
        <v>3.4599156118143171E-3</v>
      </c>
      <c r="I107" s="366"/>
      <c r="J107" s="366"/>
      <c r="K107" s="366"/>
      <c r="L107" s="365"/>
    </row>
    <row r="108" spans="1:12" x14ac:dyDescent="0.25">
      <c r="A108" s="365"/>
      <c r="B108" s="624">
        <v>42651</v>
      </c>
      <c r="C108" s="365">
        <v>20</v>
      </c>
      <c r="D108" s="366">
        <v>118.5</v>
      </c>
      <c r="E108" s="366">
        <v>119.24</v>
      </c>
      <c r="F108" s="366">
        <f t="shared" si="1"/>
        <v>14.799999999999898</v>
      </c>
      <c r="G108" s="366">
        <f t="shared" si="2"/>
        <v>2370</v>
      </c>
      <c r="H108" s="367">
        <f t="shared" si="3"/>
        <v>6.2447257383965813E-3</v>
      </c>
      <c r="I108" s="366"/>
      <c r="J108" s="366"/>
      <c r="K108" s="366"/>
      <c r="L108" s="365"/>
    </row>
    <row r="109" spans="1:12" x14ac:dyDescent="0.25">
      <c r="A109" s="365"/>
      <c r="B109" s="624">
        <v>42664</v>
      </c>
      <c r="C109" s="365">
        <v>20</v>
      </c>
      <c r="D109" s="366">
        <v>118.5</v>
      </c>
      <c r="E109" s="366">
        <v>113.44</v>
      </c>
      <c r="F109" s="366">
        <f t="shared" si="1"/>
        <v>-101.20000000000005</v>
      </c>
      <c r="G109" s="366">
        <f t="shared" si="2"/>
        <v>2370</v>
      </c>
      <c r="H109" s="367">
        <f t="shared" si="3"/>
        <v>-4.2700421940928289E-2</v>
      </c>
      <c r="I109" s="366"/>
      <c r="J109" s="366"/>
      <c r="K109" s="366"/>
      <c r="L109" s="365"/>
    </row>
    <row r="110" spans="1:12" x14ac:dyDescent="0.25">
      <c r="A110" s="365"/>
      <c r="B110" s="624">
        <v>42674</v>
      </c>
      <c r="C110" s="365">
        <v>20</v>
      </c>
      <c r="D110" s="366">
        <v>118.5</v>
      </c>
      <c r="E110" s="366">
        <v>115.99</v>
      </c>
      <c r="F110" s="366">
        <f t="shared" si="1"/>
        <v>-50.200000000000102</v>
      </c>
      <c r="G110" s="366">
        <f t="shared" si="2"/>
        <v>2370</v>
      </c>
      <c r="H110" s="367">
        <f t="shared" si="3"/>
        <v>-2.1181434599156161E-2</v>
      </c>
      <c r="I110" s="366"/>
      <c r="J110" s="366"/>
      <c r="K110" s="366"/>
      <c r="L110" s="365"/>
    </row>
    <row r="111" spans="1:12" x14ac:dyDescent="0.25">
      <c r="A111" s="365"/>
      <c r="B111" s="624">
        <v>42702</v>
      </c>
      <c r="C111" s="365">
        <v>20</v>
      </c>
      <c r="D111" s="366">
        <v>118.5</v>
      </c>
      <c r="E111" s="366">
        <v>114.13</v>
      </c>
      <c r="F111" s="366">
        <f t="shared" si="1"/>
        <v>-87.400000000000091</v>
      </c>
      <c r="G111" s="366">
        <f t="shared" si="2"/>
        <v>2370</v>
      </c>
      <c r="H111" s="367">
        <f t="shared" si="3"/>
        <v>-3.6877637130801728E-2</v>
      </c>
      <c r="I111" s="366"/>
      <c r="J111" s="366"/>
      <c r="K111" s="366"/>
      <c r="L111" s="365"/>
    </row>
    <row r="112" spans="1:12" x14ac:dyDescent="0.25">
      <c r="A112" s="365"/>
      <c r="B112" s="624">
        <v>42704</v>
      </c>
      <c r="C112" s="365">
        <v>30</v>
      </c>
      <c r="D112" s="366">
        <v>116.16</v>
      </c>
      <c r="E112" s="366">
        <v>111.3</v>
      </c>
      <c r="F112" s="366">
        <f t="shared" si="1"/>
        <v>-145.79999999999998</v>
      </c>
      <c r="G112" s="366">
        <f t="shared" si="2"/>
        <v>3484.7999999999997</v>
      </c>
      <c r="H112" s="367">
        <f t="shared" si="3"/>
        <v>-4.1838842975206611E-2</v>
      </c>
      <c r="I112" s="366"/>
      <c r="J112" s="366"/>
      <c r="K112" s="366"/>
      <c r="L112" s="365"/>
    </row>
    <row r="113" spans="1:12" x14ac:dyDescent="0.25">
      <c r="A113" s="365"/>
      <c r="B113" s="624">
        <v>42711</v>
      </c>
      <c r="C113" s="365">
        <v>30</v>
      </c>
      <c r="D113" s="366">
        <v>115.6267</v>
      </c>
      <c r="E113" s="366">
        <v>111.1</v>
      </c>
      <c r="F113" s="366">
        <f t="shared" si="1"/>
        <v>-135.80100000000016</v>
      </c>
      <c r="G113" s="366">
        <f t="shared" si="2"/>
        <v>3468.8009999999999</v>
      </c>
      <c r="H113" s="367">
        <f t="shared" si="3"/>
        <v>-3.9149262237874169E-2</v>
      </c>
      <c r="I113" s="446"/>
      <c r="J113" s="366"/>
      <c r="K113" s="366"/>
      <c r="L113" s="365"/>
    </row>
    <row r="114" spans="1:12" x14ac:dyDescent="0.25">
      <c r="A114" s="365"/>
      <c r="B114" s="624">
        <v>42759</v>
      </c>
      <c r="C114" s="365">
        <v>45</v>
      </c>
      <c r="D114" s="366">
        <v>114.14530000000001</v>
      </c>
      <c r="E114" s="366">
        <v>111.89</v>
      </c>
      <c r="F114" s="366">
        <f t="shared" si="1"/>
        <v>-101.48850000000024</v>
      </c>
      <c r="G114" s="366">
        <f t="shared" si="2"/>
        <v>5136.5385000000006</v>
      </c>
      <c r="H114" s="367">
        <f t="shared" si="3"/>
        <v>-1.9758150357483011E-2</v>
      </c>
      <c r="I114" s="366">
        <v>110</v>
      </c>
      <c r="J114" s="366"/>
      <c r="K114" s="366"/>
      <c r="L114" s="365"/>
    </row>
    <row r="115" spans="1:12" x14ac:dyDescent="0.25">
      <c r="A115" s="365" t="s">
        <v>363</v>
      </c>
      <c r="B115" s="624">
        <v>42760</v>
      </c>
      <c r="C115" s="365">
        <v>30</v>
      </c>
      <c r="D115" s="366">
        <v>114.86799999999999</v>
      </c>
      <c r="E115" s="366">
        <v>112.8</v>
      </c>
      <c r="F115" s="366">
        <f t="shared" si="1"/>
        <v>-62.039999999999935</v>
      </c>
      <c r="G115" s="366">
        <f t="shared" si="2"/>
        <v>3446.04</v>
      </c>
      <c r="H115" s="367">
        <f t="shared" si="3"/>
        <v>-1.8003273322422242E-2</v>
      </c>
      <c r="I115" s="366"/>
      <c r="J115" s="366"/>
      <c r="K115" s="366"/>
      <c r="L115" s="365"/>
    </row>
    <row r="116" spans="1:12" x14ac:dyDescent="0.25">
      <c r="A116" s="365" t="s">
        <v>403</v>
      </c>
      <c r="B116" s="624">
        <v>42761</v>
      </c>
      <c r="C116" s="365">
        <v>30</v>
      </c>
      <c r="D116" s="366">
        <v>114.86799999999999</v>
      </c>
      <c r="E116" s="366">
        <v>113.64</v>
      </c>
      <c r="F116" s="366">
        <f t="shared" si="1"/>
        <v>-36.839999999999833</v>
      </c>
      <c r="G116" s="366">
        <f t="shared" si="2"/>
        <v>3446.04</v>
      </c>
      <c r="H116" s="367">
        <f t="shared" si="3"/>
        <v>-1.0690531740780674E-2</v>
      </c>
      <c r="I116" s="366"/>
      <c r="J116" s="366"/>
      <c r="K116" s="366"/>
      <c r="L116" s="365"/>
    </row>
    <row r="117" spans="1:12" x14ac:dyDescent="0.25">
      <c r="A117" s="365" t="s">
        <v>420</v>
      </c>
      <c r="B117" s="624">
        <v>42776</v>
      </c>
      <c r="C117" s="365">
        <v>15</v>
      </c>
      <c r="D117" s="366">
        <v>114.5587</v>
      </c>
      <c r="E117" s="366">
        <v>115.24</v>
      </c>
      <c r="F117" s="366">
        <f t="shared" si="1"/>
        <v>10.219499999999897</v>
      </c>
      <c r="G117" s="366">
        <f t="shared" si="2"/>
        <v>1718.3805</v>
      </c>
      <c r="H117" s="367">
        <f t="shared" si="3"/>
        <v>5.9471694423906098E-3</v>
      </c>
      <c r="I117" s="366"/>
      <c r="J117" s="366"/>
      <c r="K117" s="366"/>
      <c r="L117" s="365"/>
    </row>
    <row r="118" spans="1:12" x14ac:dyDescent="0.25">
      <c r="A118" s="365"/>
      <c r="B118" s="624">
        <v>42796</v>
      </c>
      <c r="C118" s="365">
        <v>0</v>
      </c>
      <c r="D118" s="366"/>
      <c r="E118" s="366"/>
      <c r="F118" s="366">
        <v>142.78</v>
      </c>
      <c r="G118" s="366"/>
      <c r="H118" s="367"/>
      <c r="I118" s="366"/>
      <c r="J118" s="366"/>
      <c r="K118" s="366"/>
      <c r="L118" s="365"/>
    </row>
    <row r="119" spans="1:12" x14ac:dyDescent="0.25">
      <c r="A119" s="365"/>
      <c r="B119" s="624"/>
      <c r="C119" s="365"/>
      <c r="D119" s="366"/>
      <c r="E119" s="366"/>
      <c r="F119" s="366"/>
      <c r="G119" s="366"/>
      <c r="H119" s="367"/>
      <c r="I119" s="366"/>
      <c r="J119" s="366"/>
      <c r="K119" s="366"/>
      <c r="L119" s="365"/>
    </row>
    <row r="120" spans="1:12" x14ac:dyDescent="0.25">
      <c r="A120" s="365"/>
      <c r="B120" s="624"/>
      <c r="C120" s="365"/>
      <c r="D120" s="366"/>
      <c r="E120" s="366"/>
      <c r="F120" s="366"/>
      <c r="G120" s="366"/>
      <c r="H120" s="367"/>
      <c r="I120" s="366"/>
      <c r="J120" s="366"/>
      <c r="K120" s="366"/>
      <c r="L120" s="365"/>
    </row>
    <row r="121" spans="1:12" x14ac:dyDescent="0.25">
      <c r="A121" s="365"/>
      <c r="B121" s="624"/>
      <c r="C121" s="365"/>
      <c r="D121" s="366"/>
      <c r="E121" s="366"/>
      <c r="F121" s="366"/>
      <c r="G121" s="366"/>
      <c r="H121" s="367"/>
      <c r="I121" s="366"/>
      <c r="J121" s="366"/>
      <c r="K121" s="366"/>
      <c r="L121" s="365"/>
    </row>
    <row r="122" spans="1:12" x14ac:dyDescent="0.25">
      <c r="A122" s="365"/>
      <c r="B122" s="624"/>
      <c r="C122" s="365"/>
      <c r="D122" s="366"/>
      <c r="E122" s="366"/>
      <c r="F122" s="366"/>
      <c r="G122" s="366"/>
      <c r="H122" s="367"/>
      <c r="I122" s="366"/>
      <c r="J122" s="366"/>
      <c r="K122" s="366"/>
      <c r="L122" s="365"/>
    </row>
    <row r="123" spans="1:12" x14ac:dyDescent="0.25">
      <c r="A123" s="365"/>
      <c r="B123" s="624"/>
      <c r="C123" s="365"/>
      <c r="D123" s="366"/>
      <c r="E123" s="366"/>
      <c r="F123" s="366"/>
      <c r="G123" s="366"/>
      <c r="H123" s="367"/>
      <c r="I123" s="366"/>
      <c r="J123" s="366"/>
      <c r="K123" s="366"/>
      <c r="L123" s="365"/>
    </row>
    <row r="124" spans="1:12" x14ac:dyDescent="0.25">
      <c r="A124" s="365"/>
      <c r="B124" s="624"/>
      <c r="C124" s="365"/>
      <c r="D124" s="366"/>
      <c r="E124" s="366"/>
      <c r="F124" s="366"/>
      <c r="G124" s="366"/>
      <c r="H124" s="367"/>
      <c r="I124" s="366"/>
      <c r="J124" s="366"/>
      <c r="K124" s="366"/>
      <c r="L124" s="365"/>
    </row>
    <row r="125" spans="1:12" x14ac:dyDescent="0.25">
      <c r="A125" s="365"/>
      <c r="B125" s="624"/>
      <c r="C125" s="365"/>
      <c r="D125" s="366"/>
      <c r="E125" s="366"/>
      <c r="F125" s="366"/>
      <c r="G125" s="366"/>
      <c r="H125" s="367"/>
      <c r="I125" s="366"/>
      <c r="J125" s="366"/>
      <c r="K125" s="366"/>
      <c r="L125" s="365"/>
    </row>
    <row r="126" spans="1:12" x14ac:dyDescent="0.25">
      <c r="A126" s="365"/>
      <c r="B126" s="624"/>
      <c r="C126" s="365"/>
      <c r="D126" s="366"/>
      <c r="E126" s="366"/>
      <c r="F126" s="366"/>
      <c r="G126" s="366"/>
      <c r="H126" s="367"/>
      <c r="I126" s="366"/>
      <c r="J126" s="366"/>
      <c r="K126" s="366"/>
      <c r="L126" s="365"/>
    </row>
    <row r="127" spans="1:12" x14ac:dyDescent="0.25">
      <c r="A127" s="365"/>
      <c r="B127" s="624"/>
      <c r="C127" s="365"/>
      <c r="D127" s="366"/>
      <c r="E127" s="366"/>
      <c r="F127" s="366"/>
      <c r="G127" s="366"/>
      <c r="H127" s="367"/>
      <c r="I127" s="446"/>
      <c r="J127" s="366"/>
      <c r="K127" s="366"/>
      <c r="L127" s="365"/>
    </row>
    <row r="128" spans="1:12" x14ac:dyDescent="0.25">
      <c r="A128" s="365"/>
      <c r="B128" s="624"/>
      <c r="C128" s="365"/>
      <c r="D128" s="366"/>
      <c r="E128" s="366"/>
      <c r="F128" s="366"/>
      <c r="G128" s="366"/>
      <c r="H128" s="367"/>
      <c r="I128" s="366"/>
      <c r="J128" s="366"/>
      <c r="K128" s="366"/>
      <c r="L128" s="365"/>
    </row>
    <row r="129" spans="1:12" x14ac:dyDescent="0.25">
      <c r="A129" s="365"/>
      <c r="B129" s="62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</row>
    <row r="130" spans="1:12" x14ac:dyDescent="0.25">
      <c r="A130" s="365"/>
      <c r="B130" s="62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</row>
    <row r="131" spans="1:12" x14ac:dyDescent="0.25">
      <c r="A131" s="365"/>
      <c r="B131" s="624"/>
      <c r="C131" s="365"/>
      <c r="D131" s="366"/>
      <c r="E131" s="366"/>
      <c r="F131" s="366"/>
      <c r="G131" s="366"/>
      <c r="H131" s="367"/>
      <c r="I131" s="366"/>
      <c r="J131" s="366"/>
      <c r="K131" s="366"/>
      <c r="L131" s="365"/>
    </row>
    <row r="132" spans="1:12" x14ac:dyDescent="0.25">
      <c r="A132" s="365"/>
      <c r="B132" s="624"/>
      <c r="C132" s="365"/>
      <c r="D132" s="366"/>
      <c r="E132" s="366"/>
      <c r="F132" s="366"/>
      <c r="G132" s="366"/>
      <c r="H132" s="367"/>
      <c r="I132" s="366"/>
      <c r="J132" s="366"/>
      <c r="K132" s="366"/>
      <c r="L132" s="365"/>
    </row>
    <row r="133" spans="1:12" x14ac:dyDescent="0.25">
      <c r="A133" s="365"/>
      <c r="B133" s="624"/>
      <c r="C133" s="365"/>
      <c r="D133" s="366"/>
      <c r="E133" s="366"/>
      <c r="F133" s="366"/>
      <c r="G133" s="366"/>
      <c r="H133" s="367"/>
      <c r="I133" s="366"/>
      <c r="J133" s="366"/>
      <c r="K133" s="366"/>
      <c r="L133" s="365"/>
    </row>
    <row r="134" spans="1:12" x14ac:dyDescent="0.25">
      <c r="A134" s="365"/>
      <c r="B134" s="624"/>
      <c r="C134" s="365"/>
      <c r="D134" s="366"/>
      <c r="E134" s="366"/>
      <c r="F134" s="366"/>
      <c r="G134" s="366"/>
      <c r="H134" s="367"/>
      <c r="I134" s="366"/>
      <c r="J134" s="366"/>
      <c r="K134" s="366"/>
      <c r="L134" s="365"/>
    </row>
    <row r="135" spans="1:12" x14ac:dyDescent="0.25">
      <c r="A135" s="365"/>
      <c r="B135" s="624"/>
      <c r="C135" s="365"/>
      <c r="D135" s="366"/>
      <c r="E135" s="366"/>
      <c r="F135" s="366"/>
      <c r="G135" s="366"/>
      <c r="H135" s="367"/>
      <c r="I135" s="366"/>
      <c r="J135" s="366"/>
      <c r="K135" s="366"/>
      <c r="L135" s="365"/>
    </row>
    <row r="136" spans="1:12" x14ac:dyDescent="0.25">
      <c r="A136" s="365"/>
      <c r="B136" s="624"/>
      <c r="C136" s="365"/>
      <c r="D136" s="366"/>
      <c r="E136" s="366"/>
      <c r="F136" s="366"/>
      <c r="G136" s="366"/>
      <c r="H136" s="367"/>
      <c r="I136" s="366"/>
      <c r="J136" s="366"/>
      <c r="K136" s="366"/>
      <c r="L136" s="365"/>
    </row>
    <row r="137" spans="1:12" x14ac:dyDescent="0.25">
      <c r="A137" s="365"/>
      <c r="B137" s="624"/>
      <c r="C137" s="365"/>
      <c r="D137" s="366"/>
      <c r="E137" s="366"/>
      <c r="F137" s="366"/>
      <c r="G137" s="366"/>
      <c r="H137" s="367"/>
      <c r="I137" s="366"/>
      <c r="J137" s="366"/>
      <c r="K137" s="366"/>
      <c r="L137" s="365"/>
    </row>
    <row r="138" spans="1:12" x14ac:dyDescent="0.25">
      <c r="A138" s="365"/>
      <c r="B138" s="624"/>
      <c r="C138" s="365"/>
      <c r="D138" s="366"/>
      <c r="E138" s="366"/>
      <c r="F138" s="366"/>
      <c r="G138" s="366"/>
      <c r="H138" s="367"/>
      <c r="I138" s="366"/>
      <c r="J138" s="366"/>
      <c r="K138" s="366"/>
      <c r="L138" s="365"/>
    </row>
    <row r="139" spans="1:12" x14ac:dyDescent="0.25">
      <c r="A139" s="365"/>
      <c r="B139" s="624"/>
      <c r="C139" s="365"/>
      <c r="D139" s="366"/>
      <c r="E139" s="366"/>
      <c r="F139" s="366"/>
      <c r="G139" s="366"/>
      <c r="H139" s="367"/>
      <c r="I139" s="366"/>
      <c r="J139" s="366"/>
      <c r="K139" s="366"/>
      <c r="L139" s="365"/>
    </row>
    <row r="140" spans="1:12" x14ac:dyDescent="0.25">
      <c r="A140" s="365"/>
      <c r="B140" s="624"/>
      <c r="C140" s="365"/>
      <c r="D140" s="366"/>
      <c r="E140" s="366"/>
      <c r="F140" s="366"/>
      <c r="G140" s="366"/>
      <c r="H140" s="367"/>
      <c r="I140" s="366"/>
      <c r="J140" s="366"/>
      <c r="K140" s="366"/>
      <c r="L140" s="365"/>
    </row>
    <row r="141" spans="1:12" x14ac:dyDescent="0.25">
      <c r="A141" s="365"/>
      <c r="B141" s="624"/>
      <c r="C141" s="365"/>
      <c r="D141" s="366"/>
      <c r="E141" s="366"/>
      <c r="F141" s="366"/>
      <c r="G141" s="366"/>
      <c r="H141" s="367"/>
      <c r="I141" s="366"/>
      <c r="J141" s="366"/>
      <c r="K141" s="366"/>
      <c r="L141" s="365"/>
    </row>
    <row r="142" spans="1:12" x14ac:dyDescent="0.25">
      <c r="A142" s="365"/>
      <c r="B142" s="624"/>
      <c r="C142" s="365"/>
      <c r="D142" s="366"/>
      <c r="E142" s="366"/>
      <c r="F142" s="366"/>
      <c r="G142" s="366"/>
      <c r="H142" s="367"/>
      <c r="I142" s="366"/>
      <c r="J142" s="366"/>
      <c r="K142" s="366"/>
      <c r="L142" s="365"/>
    </row>
    <row r="143" spans="1:12" x14ac:dyDescent="0.25">
      <c r="A143" s="365"/>
      <c r="B143" s="624"/>
      <c r="C143" s="365"/>
      <c r="D143" s="366"/>
      <c r="E143" s="366"/>
      <c r="F143" s="366"/>
      <c r="G143" s="366"/>
      <c r="H143" s="367"/>
      <c r="I143" s="366"/>
      <c r="J143" s="366"/>
      <c r="K143" s="366"/>
      <c r="L143" s="365"/>
    </row>
    <row r="144" spans="1:12" x14ac:dyDescent="0.25">
      <c r="A144" s="365"/>
      <c r="B144" s="624"/>
      <c r="C144" s="365"/>
      <c r="D144" s="366"/>
      <c r="E144" s="366"/>
      <c r="F144" s="366"/>
      <c r="G144" s="366"/>
      <c r="H144" s="367"/>
      <c r="I144" s="366"/>
      <c r="J144" s="366"/>
      <c r="K144" s="366"/>
      <c r="L144" s="365"/>
    </row>
    <row r="145" spans="1:12" x14ac:dyDescent="0.25">
      <c r="A145" s="365"/>
      <c r="B145" s="624"/>
      <c r="C145" s="365"/>
      <c r="D145" s="366"/>
      <c r="E145" s="366"/>
      <c r="F145" s="366"/>
      <c r="G145" s="366"/>
      <c r="H145" s="367"/>
      <c r="I145" s="366"/>
      <c r="J145" s="366"/>
      <c r="K145" s="366"/>
      <c r="L145" s="365"/>
    </row>
    <row r="146" spans="1:12" x14ac:dyDescent="0.25">
      <c r="A146" s="365"/>
      <c r="B146" s="624"/>
      <c r="C146" s="365"/>
      <c r="D146" s="366"/>
      <c r="E146" s="366"/>
      <c r="F146" s="366"/>
      <c r="G146" s="366"/>
      <c r="H146" s="367"/>
      <c r="I146" s="366"/>
      <c r="J146" s="366"/>
      <c r="K146" s="366"/>
      <c r="L146" s="365"/>
    </row>
    <row r="147" spans="1:12" x14ac:dyDescent="0.25">
      <c r="A147" s="365"/>
      <c r="B147" s="624"/>
      <c r="C147" s="365"/>
      <c r="D147" s="366"/>
      <c r="E147" s="366"/>
      <c r="F147" s="366"/>
      <c r="G147" s="366"/>
      <c r="H147" s="367"/>
      <c r="I147" s="366"/>
      <c r="J147" s="366"/>
      <c r="K147" s="366"/>
      <c r="L147" s="365"/>
    </row>
    <row r="148" spans="1:12" x14ac:dyDescent="0.25">
      <c r="A148" s="365"/>
      <c r="B148" s="624"/>
      <c r="C148" s="365"/>
      <c r="D148" s="366"/>
      <c r="E148" s="366"/>
      <c r="F148" s="366"/>
      <c r="G148" s="366"/>
      <c r="H148" s="367"/>
      <c r="I148" s="366"/>
      <c r="J148" s="366"/>
      <c r="K148" s="366"/>
      <c r="L148" s="365"/>
    </row>
    <row r="149" spans="1:12" x14ac:dyDescent="0.25">
      <c r="A149" s="365"/>
      <c r="B149" s="624"/>
      <c r="C149" s="365"/>
      <c r="D149" s="366"/>
      <c r="E149" s="366"/>
      <c r="F149" s="366"/>
      <c r="G149" s="366"/>
      <c r="H149" s="367"/>
      <c r="I149" s="366"/>
      <c r="J149" s="366"/>
      <c r="K149" s="366"/>
      <c r="L149" s="365"/>
    </row>
    <row r="150" spans="1:12" x14ac:dyDescent="0.25">
      <c r="A150" s="365"/>
      <c r="B150" s="624"/>
      <c r="C150" s="365"/>
      <c r="D150" s="366"/>
      <c r="E150" s="366"/>
      <c r="F150" s="366"/>
      <c r="G150" s="365"/>
      <c r="H150" s="365"/>
      <c r="I150" s="366"/>
      <c r="J150" s="366"/>
      <c r="K150" s="366"/>
      <c r="L150" s="365"/>
    </row>
    <row r="151" spans="1:12" x14ac:dyDescent="0.25">
      <c r="A151" s="365"/>
      <c r="B151" s="624"/>
      <c r="C151" s="365"/>
      <c r="D151" s="366"/>
      <c r="E151" s="366"/>
      <c r="F151" s="366"/>
      <c r="G151" s="365"/>
      <c r="H151" s="365"/>
      <c r="I151" s="366"/>
      <c r="J151" s="366"/>
      <c r="K151" s="366"/>
      <c r="L151" s="36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52" priority="19">
      <formula>F25&gt;0</formula>
    </cfRule>
    <cfRule type="expression" dxfId="1751" priority="20">
      <formula>F25&lt;0</formula>
    </cfRule>
  </conditionalFormatting>
  <conditionalFormatting sqref="Q7">
    <cfRule type="expression" dxfId="1750" priority="17">
      <formula>Q7&gt;0</formula>
    </cfRule>
    <cfRule type="expression" dxfId="1749" priority="18">
      <formula>Q7&lt;0</formula>
    </cfRule>
  </conditionalFormatting>
  <conditionalFormatting sqref="Q8">
    <cfRule type="expression" dxfId="1748" priority="15">
      <formula>Q8&gt;0</formula>
    </cfRule>
    <cfRule type="expression" dxfId="1747" priority="16">
      <formula>Q8&lt;0</formula>
    </cfRule>
  </conditionalFormatting>
  <conditionalFormatting sqref="M74">
    <cfRule type="expression" dxfId="1746" priority="9">
      <formula>M74&gt;0</formula>
    </cfRule>
    <cfRule type="expression" dxfId="1745" priority="10">
      <formula>M74&lt;0</formula>
    </cfRule>
  </conditionalFormatting>
  <conditionalFormatting sqref="F113:F149 H113:H149">
    <cfRule type="expression" dxfId="1744" priority="7">
      <formula>F113&gt;0</formula>
    </cfRule>
    <cfRule type="expression" dxfId="1743" priority="8">
      <formula>F113&lt;0</formula>
    </cfRule>
  </conditionalFormatting>
  <conditionalFormatting sqref="F105:F112">
    <cfRule type="expression" dxfId="1742" priority="5">
      <formula>F105&gt;0</formula>
    </cfRule>
    <cfRule type="expression" dxfId="1741" priority="6">
      <formula>F105&lt;0</formula>
    </cfRule>
  </conditionalFormatting>
  <conditionalFormatting sqref="H105:H112">
    <cfRule type="expression" dxfId="1740" priority="3">
      <formula>H105&gt;0</formula>
    </cfRule>
    <cfRule type="expression" dxfId="1739" priority="4">
      <formula>H105&lt;0</formula>
    </cfRule>
  </conditionalFormatting>
  <conditionalFormatting sqref="Q10">
    <cfRule type="expression" dxfId="1738" priority="1">
      <formula>Q10&gt;0</formula>
    </cfRule>
    <cfRule type="expression" dxfId="173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706</v>
      </c>
      <c r="B2" s="437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7">
        <v>43103</v>
      </c>
      <c r="H2" s="7">
        <v>10</v>
      </c>
      <c r="I2" s="43">
        <v>238</v>
      </c>
      <c r="J2" s="43">
        <v>0.05</v>
      </c>
      <c r="K2" s="43">
        <f t="shared" ref="K2:K9" si="1">H2*I2-J2</f>
        <v>2379.9499999999998</v>
      </c>
      <c r="L2" s="72"/>
      <c r="M2" s="3"/>
      <c r="O2" s="11" t="s">
        <v>57</v>
      </c>
      <c r="Q2" s="7">
        <f>C23-H23</f>
        <v>70</v>
      </c>
      <c r="T2" s="1">
        <v>43080</v>
      </c>
      <c r="U2" t="s">
        <v>835</v>
      </c>
    </row>
    <row r="3" spans="1:21" x14ac:dyDescent="0.25">
      <c r="A3" s="22" t="s">
        <v>71</v>
      </c>
      <c r="B3" s="437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7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187.94971428571432</v>
      </c>
      <c r="T3" s="1"/>
    </row>
    <row r="4" spans="1:21" x14ac:dyDescent="0.25">
      <c r="B4" s="437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7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220.88</v>
      </c>
      <c r="R4" s="498">
        <v>1.41E-2</v>
      </c>
      <c r="T4" s="779">
        <v>43103</v>
      </c>
      <c r="U4" s="30" t="s">
        <v>859</v>
      </c>
    </row>
    <row r="5" spans="1:21" x14ac:dyDescent="0.25">
      <c r="B5" s="437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7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15461.6</v>
      </c>
    </row>
    <row r="6" spans="1:21" x14ac:dyDescent="0.25">
      <c r="B6" s="437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7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13156.480000000003</v>
      </c>
      <c r="T6" s="1">
        <v>43140</v>
      </c>
      <c r="U6" t="s">
        <v>949</v>
      </c>
    </row>
    <row r="7" spans="1:21" x14ac:dyDescent="0.25">
      <c r="B7" s="437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7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2529.8899999999976</v>
      </c>
      <c r="R7" s="29">
        <v>43209</v>
      </c>
    </row>
    <row r="8" spans="1:21" x14ac:dyDescent="0.25">
      <c r="B8" s="437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7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2305.1199999999972</v>
      </c>
    </row>
    <row r="9" spans="1:21" x14ac:dyDescent="0.25">
      <c r="B9" s="437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7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0.17520795835968259</v>
      </c>
      <c r="T9" s="779">
        <v>43174</v>
      </c>
      <c r="U9" t="s">
        <v>82</v>
      </c>
    </row>
    <row r="10" spans="1:21" x14ac:dyDescent="0.25">
      <c r="B10" s="437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M71</f>
        <v>224.77000000000044</v>
      </c>
      <c r="U10" t="s">
        <v>1007</v>
      </c>
    </row>
    <row r="11" spans="1:21" x14ac:dyDescent="0.25">
      <c r="B11" s="437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37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968</v>
      </c>
      <c r="Q12" s="1"/>
    </row>
    <row r="13" spans="1:21" x14ac:dyDescent="0.25">
      <c r="B13" s="437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997</v>
      </c>
      <c r="Q13">
        <f>Q4/(8.16*1.2)</f>
        <v>22.557189542483659</v>
      </c>
    </row>
    <row r="14" spans="1:21" x14ac:dyDescent="0.25">
      <c r="B14" s="437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992</v>
      </c>
      <c r="B15" s="437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992</v>
      </c>
      <c r="B16" s="437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7" t="s">
        <v>78</v>
      </c>
      <c r="P16" s="847"/>
    </row>
    <row r="17" spans="1:16" ht="15.75" thickTop="1" x14ac:dyDescent="0.25">
      <c r="B17" s="477">
        <v>43178</v>
      </c>
      <c r="C17" s="4">
        <v>40</v>
      </c>
      <c r="D17" s="2">
        <v>216.88</v>
      </c>
      <c r="E17" s="2">
        <v>0</v>
      </c>
      <c r="F17" s="2">
        <f>C17*D17+E17</f>
        <v>8675.2000000000007</v>
      </c>
      <c r="O17" s="81">
        <v>1.1000000000000001</v>
      </c>
      <c r="P17" s="81">
        <f>O17*$Q$4</f>
        <v>242.96800000000002</v>
      </c>
    </row>
    <row r="18" spans="1:16" x14ac:dyDescent="0.25">
      <c r="B18" s="477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240.75920000000002</v>
      </c>
    </row>
    <row r="19" spans="1:16" x14ac:dyDescent="0.25">
      <c r="C19" s="4"/>
      <c r="D19" s="3"/>
      <c r="E19" s="3"/>
      <c r="F19" s="3"/>
      <c r="O19" s="81">
        <v>1.08</v>
      </c>
      <c r="P19" s="81">
        <f t="shared" si="4"/>
        <v>238.55040000000002</v>
      </c>
    </row>
    <row r="20" spans="1:16" x14ac:dyDescent="0.25">
      <c r="O20" s="81">
        <v>1.07</v>
      </c>
      <c r="P20" s="81">
        <f t="shared" si="4"/>
        <v>236.3416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234.1328</v>
      </c>
    </row>
    <row r="22" spans="1:16" x14ac:dyDescent="0.25">
      <c r="O22" s="81">
        <v>1.05</v>
      </c>
      <c r="P22" s="81">
        <f t="shared" si="4"/>
        <v>231.92400000000001</v>
      </c>
    </row>
    <row r="23" spans="1:16" x14ac:dyDescent="0.25">
      <c r="A23" s="31" t="s">
        <v>81</v>
      </c>
      <c r="B23" s="14"/>
      <c r="C23" s="14">
        <f>SUM(C2:C21)</f>
        <v>310</v>
      </c>
      <c r="D23" s="18"/>
      <c r="E23" s="18"/>
      <c r="F23" s="18">
        <f>SUM(F2:F21)</f>
        <v>65017.4</v>
      </c>
      <c r="G23" s="14"/>
      <c r="H23" s="71">
        <f>SUM(H2:H10)</f>
        <v>240</v>
      </c>
      <c r="I23" s="18"/>
      <c r="J23" s="18"/>
      <c r="K23" s="18">
        <f>SUM(K2:K10)</f>
        <v>51860.92</v>
      </c>
      <c r="L23" s="14"/>
      <c r="M23" s="18">
        <f>SUM(M2:M10)</f>
        <v>0</v>
      </c>
      <c r="O23" s="81">
        <v>1.04</v>
      </c>
      <c r="P23" s="81">
        <f t="shared" si="4"/>
        <v>229.71520000000001</v>
      </c>
    </row>
    <row r="24" spans="1:16" ht="15.75" thickBot="1" x14ac:dyDescent="0.3">
      <c r="A24" s="344" t="s">
        <v>194</v>
      </c>
      <c r="B24" s="345"/>
      <c r="C24" s="346">
        <f>SumByColor($A$24,C2:C22)</f>
        <v>240</v>
      </c>
      <c r="D24" s="346"/>
      <c r="E24" s="346"/>
      <c r="F24" s="347">
        <f>SumByColor($A$24,F2:F22)</f>
        <v>50112</v>
      </c>
      <c r="G24" s="346"/>
      <c r="H24" s="346">
        <f>SumByColor($A$24,H2:H22)</f>
        <v>240</v>
      </c>
      <c r="I24" s="346"/>
      <c r="J24" s="346"/>
      <c r="K24" s="347">
        <f>SumByColor($A$24,K2:K22)</f>
        <v>51861</v>
      </c>
      <c r="L24" s="346"/>
      <c r="M24" s="347">
        <f>SumByColor($A$24,M2:M22)</f>
        <v>0</v>
      </c>
      <c r="O24" s="81">
        <v>1.03</v>
      </c>
      <c r="P24" s="81">
        <f t="shared" si="4"/>
        <v>227.50640000000001</v>
      </c>
    </row>
    <row r="25" spans="1:16" x14ac:dyDescent="0.25">
      <c r="O25" s="81">
        <v>1.02</v>
      </c>
      <c r="P25" s="81">
        <f t="shared" si="4"/>
        <v>225.29759999999999</v>
      </c>
    </row>
    <row r="26" spans="1:16" x14ac:dyDescent="0.25">
      <c r="O26" s="81">
        <v>1.01</v>
      </c>
      <c r="P26" s="81">
        <f t="shared" si="4"/>
        <v>223.08879999999999</v>
      </c>
    </row>
    <row r="27" spans="1:16" x14ac:dyDescent="0.25">
      <c r="O27" s="81">
        <v>1</v>
      </c>
      <c r="P27" s="81">
        <f t="shared" si="4"/>
        <v>220.88</v>
      </c>
    </row>
    <row r="28" spans="1:16" x14ac:dyDescent="0.25">
      <c r="O28" s="81">
        <v>0.99</v>
      </c>
      <c r="P28" s="81">
        <f t="shared" si="4"/>
        <v>218.6712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504</v>
      </c>
      <c r="L29" s="223" t="s">
        <v>997</v>
      </c>
      <c r="O29" s="81">
        <v>0.98</v>
      </c>
      <c r="P29" s="81">
        <f t="shared" si="4"/>
        <v>216.4624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214.25359999999998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212.04479999999998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209.83599999999998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207.62719999999999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205.41840000000002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203.20959999999999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201.0008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198.792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59" si="35">C56*(E56-D56)</f>
        <v>941.99999999999875</v>
      </c>
      <c r="G56" s="39">
        <f t="shared" ref="G56:G59" si="36">D56*C56</f>
        <v>19550</v>
      </c>
      <c r="H56" s="225">
        <f t="shared" ref="H56:H59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</row>
    <row r="61" spans="1:17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</row>
    <row r="62" spans="1:17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</row>
    <row r="63" spans="1:17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72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72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72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7"/>
      <c r="B71" s="567"/>
      <c r="C71" s="567"/>
      <c r="D71" s="568"/>
      <c r="E71" s="568"/>
      <c r="F71" s="568"/>
      <c r="G71" s="567"/>
      <c r="H71" s="567"/>
      <c r="I71" s="568"/>
      <c r="J71" s="568"/>
      <c r="K71" s="568"/>
      <c r="L71" s="567" t="s">
        <v>65</v>
      </c>
      <c r="M71" s="568">
        <f>M89+K89-F89</f>
        <v>224.77000000000044</v>
      </c>
    </row>
    <row r="72" spans="1:13" x14ac:dyDescent="0.25">
      <c r="A72" s="690" t="s">
        <v>1</v>
      </c>
      <c r="B72" s="690" t="s">
        <v>2</v>
      </c>
      <c r="C72" s="690" t="s">
        <v>4</v>
      </c>
      <c r="D72" s="691" t="s">
        <v>5</v>
      </c>
      <c r="E72" s="691" t="s">
        <v>94</v>
      </c>
      <c r="F72" s="691" t="s">
        <v>60</v>
      </c>
      <c r="G72" s="690" t="s">
        <v>3</v>
      </c>
      <c r="H72" s="690" t="s">
        <v>6</v>
      </c>
      <c r="I72" s="691" t="s">
        <v>7</v>
      </c>
      <c r="J72" s="691" t="s">
        <v>95</v>
      </c>
      <c r="K72" s="691" t="s">
        <v>61</v>
      </c>
      <c r="L72" s="690" t="s">
        <v>37</v>
      </c>
      <c r="M72" s="690" t="s">
        <v>38</v>
      </c>
    </row>
    <row r="73" spans="1:13" x14ac:dyDescent="0.25">
      <c r="A73" s="692" t="s">
        <v>706</v>
      </c>
      <c r="B73" s="570">
        <v>42972</v>
      </c>
      <c r="C73" s="567">
        <v>15</v>
      </c>
      <c r="D73" s="568">
        <v>210.01</v>
      </c>
      <c r="E73" s="568">
        <v>0</v>
      </c>
      <c r="F73" s="568">
        <f>C73*D73+E73</f>
        <v>3150.1499999999996</v>
      </c>
      <c r="G73" s="570">
        <v>43005</v>
      </c>
      <c r="H73" s="567">
        <v>15</v>
      </c>
      <c r="I73" s="568">
        <v>225</v>
      </c>
      <c r="J73" s="568">
        <v>0.08</v>
      </c>
      <c r="K73" s="568">
        <f>H73*I73-J73</f>
        <v>3374.92</v>
      </c>
      <c r="L73" s="570"/>
      <c r="M73" s="568"/>
    </row>
    <row r="74" spans="1:13" x14ac:dyDescent="0.25">
      <c r="A74" s="693"/>
      <c r="B74" s="570"/>
      <c r="C74" s="567"/>
      <c r="D74" s="568"/>
      <c r="E74" s="568"/>
      <c r="F74" s="568"/>
      <c r="G74" s="570"/>
      <c r="H74" s="569"/>
      <c r="I74" s="568"/>
      <c r="J74" s="568"/>
      <c r="K74" s="568"/>
      <c r="L74" s="567"/>
      <c r="M74" s="567"/>
    </row>
    <row r="75" spans="1:13" x14ac:dyDescent="0.25">
      <c r="A75" s="567"/>
      <c r="B75" s="570"/>
      <c r="C75" s="567"/>
      <c r="D75" s="568"/>
      <c r="E75" s="568"/>
      <c r="F75" s="568"/>
      <c r="G75" s="570"/>
      <c r="H75" s="569"/>
      <c r="I75" s="568"/>
      <c r="J75" s="568"/>
      <c r="K75" s="568"/>
      <c r="L75" s="567"/>
      <c r="M75" s="567"/>
    </row>
    <row r="76" spans="1:13" x14ac:dyDescent="0.25">
      <c r="A76" s="567"/>
      <c r="B76" s="570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70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9"/>
      <c r="I83" s="568"/>
      <c r="J83" s="568"/>
      <c r="K83" s="568"/>
      <c r="L83" s="567"/>
      <c r="M83" s="567"/>
    </row>
    <row r="84" spans="1:13" x14ac:dyDescent="0.25">
      <c r="A84" s="567"/>
      <c r="B84" s="567"/>
      <c r="C84" s="567"/>
      <c r="D84" s="568"/>
      <c r="E84" s="568"/>
      <c r="F84" s="568"/>
      <c r="G84" s="567"/>
      <c r="H84" s="569"/>
      <c r="I84" s="568"/>
      <c r="J84" s="568"/>
      <c r="K84" s="568"/>
      <c r="L84" s="567"/>
      <c r="M84" s="567"/>
    </row>
    <row r="85" spans="1:13" x14ac:dyDescent="0.25">
      <c r="A85" s="567"/>
      <c r="B85" s="567"/>
      <c r="C85" s="567"/>
      <c r="D85" s="568"/>
      <c r="E85" s="568"/>
      <c r="F85" s="568"/>
      <c r="G85" s="567"/>
      <c r="H85" s="569"/>
      <c r="I85" s="568"/>
      <c r="J85" s="568"/>
      <c r="K85" s="568"/>
      <c r="L85" s="567"/>
      <c r="M85" s="567"/>
    </row>
    <row r="86" spans="1:13" x14ac:dyDescent="0.25">
      <c r="A86" s="567"/>
      <c r="B86" s="567"/>
      <c r="C86" s="567"/>
      <c r="D86" s="568"/>
      <c r="E86" s="568"/>
      <c r="F86" s="568"/>
      <c r="G86" s="567"/>
      <c r="H86" s="569"/>
      <c r="I86" s="568"/>
      <c r="J86" s="568"/>
      <c r="K86" s="568"/>
      <c r="L86" s="567"/>
      <c r="M86" s="567"/>
    </row>
    <row r="87" spans="1:13" x14ac:dyDescent="0.25">
      <c r="A87" s="567"/>
      <c r="B87" s="567"/>
      <c r="C87" s="567"/>
      <c r="D87" s="568"/>
      <c r="E87" s="568"/>
      <c r="F87" s="568"/>
      <c r="G87" s="567"/>
      <c r="H87" s="569"/>
      <c r="I87" s="568"/>
      <c r="J87" s="568"/>
      <c r="K87" s="568"/>
      <c r="L87" s="567"/>
      <c r="M87" s="567"/>
    </row>
    <row r="88" spans="1:13" x14ac:dyDescent="0.25">
      <c r="A88" s="567"/>
      <c r="B88" s="567"/>
      <c r="C88" s="567"/>
      <c r="D88" s="568"/>
      <c r="E88" s="568"/>
      <c r="F88" s="568"/>
      <c r="G88" s="567"/>
      <c r="H88" s="567"/>
      <c r="I88" s="568"/>
      <c r="J88" s="568"/>
      <c r="K88" s="568"/>
      <c r="L88" s="567"/>
      <c r="M88" s="567"/>
    </row>
    <row r="89" spans="1:13" x14ac:dyDescent="0.25">
      <c r="A89" s="694" t="s">
        <v>81</v>
      </c>
      <c r="B89" s="695"/>
      <c r="C89" s="695">
        <f>SUM(C73:C77)</f>
        <v>15</v>
      </c>
      <c r="D89" s="696"/>
      <c r="E89" s="696"/>
      <c r="F89" s="696">
        <f>SUM(F73:F77)</f>
        <v>3150.1499999999996</v>
      </c>
      <c r="G89" s="695"/>
      <c r="H89" s="697">
        <f>SUM(H73:H76)</f>
        <v>15</v>
      </c>
      <c r="I89" s="696"/>
      <c r="J89" s="696"/>
      <c r="K89" s="696">
        <f>SUM(K73:K76)</f>
        <v>3374.92</v>
      </c>
      <c r="L89" s="695"/>
      <c r="M89" s="696">
        <f>SUM(M73:M81)</f>
        <v>0</v>
      </c>
    </row>
    <row r="90" spans="1:13" ht="15.75" thickBot="1" x14ac:dyDescent="0.3">
      <c r="A90" s="698" t="s">
        <v>194</v>
      </c>
      <c r="B90" s="731"/>
      <c r="C90" s="699">
        <f>SumByColor($A$24,C73:C88)</f>
        <v>0</v>
      </c>
      <c r="D90" s="699"/>
      <c r="E90" s="699"/>
      <c r="F90" s="700">
        <f>SumByColor($A$24,F73:F88)</f>
        <v>0</v>
      </c>
      <c r="G90" s="699"/>
      <c r="H90" s="699">
        <f>SumByColor($A$24,H73:H88)</f>
        <v>0</v>
      </c>
      <c r="I90" s="699"/>
      <c r="J90" s="699"/>
      <c r="K90" s="700">
        <f>SumByColor($A$24,K74:K88)</f>
        <v>0</v>
      </c>
      <c r="L90" s="699"/>
      <c r="M90" s="700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679</v>
      </c>
      <c r="L93" s="223" t="s">
        <v>685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8">C94*(E94-D94)</f>
        <v>35.250000000000341</v>
      </c>
      <c r="G94" s="39">
        <f t="shared" ref="G94:G95" si="39">D94*C94</f>
        <v>3150.1499999999996</v>
      </c>
      <c r="H94" s="225">
        <f t="shared" ref="H94:H95" si="40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8"/>
        <v>208.35000000000022</v>
      </c>
      <c r="G95" s="39">
        <f t="shared" si="39"/>
        <v>3150.1499999999996</v>
      </c>
      <c r="H95" s="225">
        <f t="shared" si="40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:F68 H66:H68">
    <cfRule type="expression" dxfId="1736" priority="41">
      <formula>F66&gt;0</formula>
    </cfRule>
    <cfRule type="expression" dxfId="1735" priority="42">
      <formula>F66&lt;0</formula>
    </cfRule>
  </conditionalFormatting>
  <conditionalFormatting sqref="Q7">
    <cfRule type="expression" dxfId="1734" priority="39">
      <formula>Q7&gt;0</formula>
    </cfRule>
    <cfRule type="expression" dxfId="1733" priority="40">
      <formula>Q7&lt;0</formula>
    </cfRule>
  </conditionalFormatting>
  <conditionalFormatting sqref="Q8">
    <cfRule type="expression" dxfId="1732" priority="37">
      <formula>Q8&gt;0</formula>
    </cfRule>
    <cfRule type="expression" dxfId="1731" priority="38">
      <formula>Q8&lt;0</formula>
    </cfRule>
  </conditionalFormatting>
  <conditionalFormatting sqref="F35:F54 F57:F65">
    <cfRule type="expression" dxfId="1730" priority="35">
      <formula>F35&gt;0</formula>
    </cfRule>
    <cfRule type="expression" dxfId="1729" priority="36">
      <formula>F35&lt;0</formula>
    </cfRule>
  </conditionalFormatting>
  <conditionalFormatting sqref="H35:H54 H57:H65">
    <cfRule type="expression" dxfId="1728" priority="33">
      <formula>H35&gt;0</formula>
    </cfRule>
    <cfRule type="expression" dxfId="1727" priority="34">
      <formula>H35&lt;0</formula>
    </cfRule>
  </conditionalFormatting>
  <conditionalFormatting sqref="Q10">
    <cfRule type="expression" dxfId="1726" priority="27">
      <formula>Q10&gt;0</formula>
    </cfRule>
    <cfRule type="expression" dxfId="1725" priority="28">
      <formula>Q10&lt;0</formula>
    </cfRule>
  </conditionalFormatting>
  <conditionalFormatting sqref="J30:J54 J57:J65">
    <cfRule type="expression" dxfId="1724" priority="25">
      <formula>J30&gt;0</formula>
    </cfRule>
    <cfRule type="expression" dxfId="1723" priority="26">
      <formula>J30&lt;0</formula>
    </cfRule>
  </conditionalFormatting>
  <conditionalFormatting sqref="K30:K43">
    <cfRule type="expression" dxfId="1722" priority="23">
      <formula>K30&gt;0</formula>
    </cfRule>
    <cfRule type="expression" dxfId="1721" priority="24">
      <formula>K30&lt;0</formula>
    </cfRule>
  </conditionalFormatting>
  <conditionalFormatting sqref="L30:L43">
    <cfRule type="expression" dxfId="1720" priority="21">
      <formula>L30&gt;0</formula>
    </cfRule>
    <cfRule type="expression" dxfId="1719" priority="22">
      <formula>L30&lt;0</formula>
    </cfRule>
  </conditionalFormatting>
  <conditionalFormatting sqref="F94:F115">
    <cfRule type="expression" dxfId="1718" priority="19">
      <formula>F94&gt;0</formula>
    </cfRule>
    <cfRule type="expression" dxfId="1717" priority="20">
      <formula>F94&lt;0</formula>
    </cfRule>
  </conditionalFormatting>
  <conditionalFormatting sqref="H94:H115">
    <cfRule type="expression" dxfId="1716" priority="17">
      <formula>H94&gt;0</formula>
    </cfRule>
    <cfRule type="expression" dxfId="1715" priority="18">
      <formula>H94&lt;0</formula>
    </cfRule>
  </conditionalFormatting>
  <conditionalFormatting sqref="J94:J107">
    <cfRule type="expression" dxfId="1714" priority="15">
      <formula>J94&gt;0</formula>
    </cfRule>
    <cfRule type="expression" dxfId="1713" priority="16">
      <formula>J94&lt;0</formula>
    </cfRule>
  </conditionalFormatting>
  <conditionalFormatting sqref="K94:K107">
    <cfRule type="expression" dxfId="1712" priority="13">
      <formula>K94&gt;0</formula>
    </cfRule>
    <cfRule type="expression" dxfId="1711" priority="14">
      <formula>K94&lt;0</formula>
    </cfRule>
  </conditionalFormatting>
  <conditionalFormatting sqref="L94:L107">
    <cfRule type="expression" dxfId="1710" priority="11">
      <formula>L94&gt;0</formula>
    </cfRule>
    <cfRule type="expression" dxfId="1709" priority="12">
      <formula>L94&lt;0</formula>
    </cfRule>
  </conditionalFormatting>
  <conditionalFormatting sqref="F30:F34">
    <cfRule type="expression" dxfId="1708" priority="9">
      <formula>F30&gt;0</formula>
    </cfRule>
    <cfRule type="expression" dxfId="1707" priority="10">
      <formula>F30&lt;0</formula>
    </cfRule>
  </conditionalFormatting>
  <conditionalFormatting sqref="H30:H34">
    <cfRule type="expression" dxfId="1706" priority="7">
      <formula>H30&gt;0</formula>
    </cfRule>
    <cfRule type="expression" dxfId="1705" priority="8">
      <formula>H30&lt;0</formula>
    </cfRule>
  </conditionalFormatting>
  <conditionalFormatting sqref="F55:F56">
    <cfRule type="expression" dxfId="1704" priority="5">
      <formula>F55&gt;0</formula>
    </cfRule>
    <cfRule type="expression" dxfId="1703" priority="6">
      <formula>F55&lt;0</formula>
    </cfRule>
  </conditionalFormatting>
  <conditionalFormatting sqref="H55:H56">
    <cfRule type="expression" dxfId="1702" priority="3">
      <formula>H55&gt;0</formula>
    </cfRule>
    <cfRule type="expression" dxfId="1701" priority="4">
      <formula>H55&lt;0</formula>
    </cfRule>
  </conditionalFormatting>
  <conditionalFormatting sqref="J55:J56">
    <cfRule type="expression" dxfId="1700" priority="1">
      <formula>J55&gt;0</formula>
    </cfRule>
    <cfRule type="expression" dxfId="1699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846</v>
      </c>
      <c r="B2" s="437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7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922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925</v>
      </c>
      <c r="W2" s="134"/>
    </row>
    <row r="3" spans="1:23" x14ac:dyDescent="0.25">
      <c r="A3" s="22" t="s">
        <v>71</v>
      </c>
      <c r="B3" s="437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7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926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91.4</v>
      </c>
      <c r="R4" s="498">
        <v>1.29E-2</v>
      </c>
      <c r="T4" s="1"/>
      <c r="U4" t="s">
        <v>927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2742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928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365.57000000000062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365.57000000000062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0.15383158771771133</v>
      </c>
      <c r="T9" s="1">
        <v>43203</v>
      </c>
      <c r="U9" t="s">
        <v>1036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1035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7.4398249452954047E-3</v>
      </c>
      <c r="R11">
        <v>0.17</v>
      </c>
      <c r="W11" s="134"/>
    </row>
    <row r="12" spans="1:23" x14ac:dyDescent="0.25">
      <c r="H12" s="70"/>
      <c r="O12" s="11" t="s">
        <v>1021</v>
      </c>
      <c r="Q12" s="1"/>
      <c r="W12" s="134"/>
    </row>
    <row r="13" spans="1:23" x14ac:dyDescent="0.25">
      <c r="H13" s="70"/>
      <c r="O13" s="11" t="s">
        <v>997</v>
      </c>
      <c r="Q13">
        <f>Q4/4.75</f>
        <v>19.242105263157896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7" t="s">
        <v>78</v>
      </c>
      <c r="P15" s="847"/>
      <c r="W15" s="134"/>
    </row>
    <row r="16" spans="1:23" ht="15.75" thickTop="1" x14ac:dyDescent="0.25">
      <c r="H16" s="70"/>
      <c r="O16" s="81">
        <v>1.1000000000000001</v>
      </c>
      <c r="P16" s="81">
        <f>O16*$Q$4</f>
        <v>100.54000000000002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99.626000000000019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98.712000000000018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97.798000000000016</v>
      </c>
      <c r="W19" s="134"/>
    </row>
    <row r="20" spans="1:23" x14ac:dyDescent="0.25">
      <c r="O20" s="81">
        <v>1.06</v>
      </c>
      <c r="P20" s="81">
        <f t="shared" si="0"/>
        <v>96.884000000000015</v>
      </c>
      <c r="W20" s="134"/>
    </row>
    <row r="21" spans="1:23" x14ac:dyDescent="0.25">
      <c r="O21" s="81">
        <v>1.05</v>
      </c>
      <c r="P21" s="81">
        <f t="shared" si="0"/>
        <v>95.970000000000013</v>
      </c>
      <c r="W21" s="134"/>
    </row>
    <row r="22" spans="1:23" x14ac:dyDescent="0.25">
      <c r="O22" s="81">
        <v>1.04</v>
      </c>
      <c r="P22" s="81">
        <f t="shared" si="0"/>
        <v>95.056000000000012</v>
      </c>
      <c r="W22" s="134"/>
    </row>
    <row r="23" spans="1:23" x14ac:dyDescent="0.25">
      <c r="O23" s="81">
        <v>1.03</v>
      </c>
      <c r="P23" s="81">
        <f t="shared" si="0"/>
        <v>94.14200000000001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/>
      <c r="O24" s="81">
        <v>1.02</v>
      </c>
      <c r="P24" s="81">
        <f t="shared" si="0"/>
        <v>93.228000000000009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92.314000000000007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91.4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90.486000000000004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89.572000000000003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88.658000000000001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87.744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86.83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85.915999999999997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5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85.00200000000001</v>
      </c>
      <c r="W33" s="134"/>
    </row>
    <row r="34" spans="1:23" x14ac:dyDescent="0.25">
      <c r="B34" s="187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5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84.088000000000008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83.174000000000007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82.26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846</v>
      </c>
      <c r="B68" s="499"/>
      <c r="C68" s="500"/>
      <c r="D68" s="502"/>
      <c r="E68" s="502"/>
      <c r="F68" s="502"/>
      <c r="G68" s="500"/>
      <c r="H68" s="517"/>
      <c r="I68" s="502"/>
      <c r="J68" s="502"/>
      <c r="K68" s="502"/>
      <c r="L68" s="500"/>
      <c r="M68" s="500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500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500"/>
      <c r="C70" s="500"/>
      <c r="D70" s="502"/>
      <c r="E70" s="502"/>
      <c r="F70" s="502"/>
      <c r="G70" s="500"/>
      <c r="H70" s="517"/>
      <c r="I70" s="502"/>
      <c r="J70" s="502"/>
      <c r="K70" s="502"/>
      <c r="L70" s="500"/>
      <c r="M70" s="500"/>
    </row>
    <row r="71" spans="1:23" x14ac:dyDescent="0.25">
      <c r="A71" s="500"/>
      <c r="B71" s="500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500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8" priority="21">
      <formula>F47&gt;0</formula>
    </cfRule>
    <cfRule type="expression" dxfId="1697" priority="22">
      <formula>F47&lt;0</formula>
    </cfRule>
  </conditionalFormatting>
  <conditionalFormatting sqref="Q7">
    <cfRule type="expression" dxfId="1696" priority="19">
      <formula>Q7&gt;0</formula>
    </cfRule>
    <cfRule type="expression" dxfId="1695" priority="20">
      <formula>Q7&lt;0</formula>
    </cfRule>
  </conditionalFormatting>
  <conditionalFormatting sqref="Q8">
    <cfRule type="expression" dxfId="1694" priority="17">
      <formula>Q8&gt;0</formula>
    </cfRule>
    <cfRule type="expression" dxfId="1693" priority="18">
      <formula>Q8&lt;0</formula>
    </cfRule>
  </conditionalFormatting>
  <conditionalFormatting sqref="F25:F46">
    <cfRule type="expression" dxfId="1692" priority="15">
      <formula>F25&gt;0</formula>
    </cfRule>
    <cfRule type="expression" dxfId="1691" priority="16">
      <formula>F25&lt;0</formula>
    </cfRule>
  </conditionalFormatting>
  <conditionalFormatting sqref="H25:H46">
    <cfRule type="expression" dxfId="1690" priority="13">
      <formula>H25&gt;0</formula>
    </cfRule>
    <cfRule type="expression" dxfId="1689" priority="14">
      <formula>H25&lt;0</formula>
    </cfRule>
  </conditionalFormatting>
  <conditionalFormatting sqref="F89:F110">
    <cfRule type="expression" dxfId="1688" priority="11">
      <formula>F89&gt;0</formula>
    </cfRule>
    <cfRule type="expression" dxfId="1687" priority="12">
      <formula>F89&lt;0</formula>
    </cfRule>
  </conditionalFormatting>
  <conditionalFormatting sqref="H89:H110">
    <cfRule type="expression" dxfId="1686" priority="9">
      <formula>H89&gt;0</formula>
    </cfRule>
    <cfRule type="expression" dxfId="1685" priority="10">
      <formula>H89&lt;0</formula>
    </cfRule>
  </conditionalFormatting>
  <conditionalFormatting sqref="Q10">
    <cfRule type="expression" dxfId="1684" priority="7">
      <formula>Q10&gt;0</formula>
    </cfRule>
    <cfRule type="expression" dxfId="1683" priority="8">
      <formula>Q10&lt;0</formula>
    </cfRule>
  </conditionalFormatting>
  <conditionalFormatting sqref="J25:J38">
    <cfRule type="expression" dxfId="1682" priority="5">
      <formula>J25&gt;0</formula>
    </cfRule>
    <cfRule type="expression" dxfId="1681" priority="6">
      <formula>J25&lt;0</formula>
    </cfRule>
  </conditionalFormatting>
  <conditionalFormatting sqref="K25:K38">
    <cfRule type="expression" dxfId="1680" priority="3">
      <formula>K25&gt;0</formula>
    </cfRule>
    <cfRule type="expression" dxfId="1679" priority="4">
      <formula>K25&lt;0</formula>
    </cfRule>
  </conditionalFormatting>
  <conditionalFormatting sqref="L25:L38">
    <cfRule type="expression" dxfId="1678" priority="1">
      <formula>L25&gt;0</formula>
    </cfRule>
    <cfRule type="expression" dxfId="16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0" activePane="bottomLeft" state="frozen"/>
      <selection activeCell="A2" sqref="A2"/>
      <selection pane="bottomLeft" activeCell="I13" sqref="I1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7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7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844</v>
      </c>
    </row>
    <row r="3" spans="1:21" x14ac:dyDescent="0.25">
      <c r="A3" s="22" t="s">
        <v>71</v>
      </c>
      <c r="B3" s="437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7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37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7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106.6099</v>
      </c>
      <c r="R4" s="498">
        <v>-3.5799999999999998E-2</v>
      </c>
      <c r="T4" s="1">
        <v>42738</v>
      </c>
      <c r="U4" t="s">
        <v>843</v>
      </c>
    </row>
    <row r="5" spans="1:21" x14ac:dyDescent="0.25">
      <c r="B5" s="437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7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7995.7424999999994</v>
      </c>
      <c r="T5" s="1">
        <v>43105</v>
      </c>
      <c r="U5" t="s">
        <v>871</v>
      </c>
    </row>
    <row r="6" spans="1:21" x14ac:dyDescent="0.25">
      <c r="B6" s="437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7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37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7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1412.4524999999985</v>
      </c>
      <c r="R7">
        <v>50</v>
      </c>
      <c r="T7" s="1">
        <v>43112</v>
      </c>
      <c r="U7" t="s">
        <v>877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7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1412.4524999999985</v>
      </c>
    </row>
    <row r="9" spans="1:21" x14ac:dyDescent="0.25">
      <c r="B9" s="437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7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0.21455115907092021</v>
      </c>
      <c r="T9" s="1">
        <v>43114</v>
      </c>
      <c r="U9" t="s">
        <v>899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900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7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990</v>
      </c>
    </row>
    <row r="13" spans="1:21" x14ac:dyDescent="0.25">
      <c r="C13" s="4"/>
      <c r="D13" s="3"/>
      <c r="E13" s="3"/>
      <c r="F13" s="3"/>
      <c r="H13" s="70"/>
      <c r="O13" s="11" t="s">
        <v>997</v>
      </c>
      <c r="Q13">
        <f>Q4/6.69</f>
        <v>15.935710014947682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7" t="s">
        <v>78</v>
      </c>
      <c r="P17" s="84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117.27089000000001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116.204791</v>
      </c>
      <c r="Q19" s="2"/>
    </row>
    <row r="20" spans="1:17" x14ac:dyDescent="0.25">
      <c r="O20" s="81">
        <v>1.08</v>
      </c>
      <c r="P20" s="81">
        <f t="shared" si="3"/>
        <v>115.13869200000001</v>
      </c>
      <c r="Q20" s="2"/>
    </row>
    <row r="21" spans="1:17" x14ac:dyDescent="0.25">
      <c r="O21" s="81">
        <v>1.07</v>
      </c>
      <c r="P21" s="81">
        <f t="shared" si="3"/>
        <v>114.072593</v>
      </c>
      <c r="Q21" s="2"/>
    </row>
    <row r="22" spans="1:17" x14ac:dyDescent="0.25">
      <c r="O22" s="81">
        <v>1.06</v>
      </c>
      <c r="P22" s="81">
        <f t="shared" si="3"/>
        <v>113.006494</v>
      </c>
      <c r="Q22" s="2"/>
    </row>
    <row r="23" spans="1:17" x14ac:dyDescent="0.25">
      <c r="O23" s="81">
        <v>1.05</v>
      </c>
      <c r="P23" s="81">
        <f t="shared" si="3"/>
        <v>111.940395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70</v>
      </c>
      <c r="O24" s="81">
        <v>1.04</v>
      </c>
      <c r="P24" s="81">
        <f t="shared" si="3"/>
        <v>110.874296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109.80819699999999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108.742098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107.67599899999999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106.6099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105.543801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104.47770199999999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103.411603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102.34550399999999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101.279405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100.21330599999999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99.147206999999995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98.081108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97.015009000000006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95.948909999999998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876</v>
      </c>
      <c r="J47" s="39"/>
      <c r="K47" s="39"/>
      <c r="L47" s="39">
        <v>74.34</v>
      </c>
      <c r="M47" s="39" t="s">
        <v>898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962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8" si="48">C56*(E56-D56)</f>
        <v>1922</v>
      </c>
      <c r="G56" s="39">
        <f t="shared" ref="G56:G58" si="49">D56*C56</f>
        <v>3816.5</v>
      </c>
      <c r="H56" s="225">
        <f t="shared" ref="H56:H58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995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/>
      <c r="B59" s="187"/>
      <c r="C59" s="10"/>
      <c r="D59" s="39"/>
      <c r="E59" s="39"/>
      <c r="F59" s="39"/>
      <c r="G59" s="39"/>
      <c r="H59" s="225"/>
      <c r="I59" s="39"/>
      <c r="J59" s="39"/>
      <c r="K59" s="39"/>
      <c r="L59" s="39"/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76" priority="23">
      <formula>Q7&gt;0</formula>
    </cfRule>
    <cfRule type="expression" dxfId="1675" priority="24">
      <formula>Q7&lt;0</formula>
    </cfRule>
  </conditionalFormatting>
  <conditionalFormatting sqref="Q8">
    <cfRule type="expression" dxfId="1674" priority="21">
      <formula>Q8&gt;0</formula>
    </cfRule>
    <cfRule type="expression" dxfId="1673" priority="22">
      <formula>Q8&lt;0</formula>
    </cfRule>
  </conditionalFormatting>
  <conditionalFormatting sqref="F25:F64">
    <cfRule type="expression" dxfId="1672" priority="19">
      <formula>F25&gt;0</formula>
    </cfRule>
    <cfRule type="expression" dxfId="1671" priority="20">
      <formula>F25&lt;0</formula>
    </cfRule>
  </conditionalFormatting>
  <conditionalFormatting sqref="H25:H64">
    <cfRule type="expression" dxfId="1670" priority="17">
      <formula>H25&gt;0</formula>
    </cfRule>
    <cfRule type="expression" dxfId="1669" priority="18">
      <formula>H25&lt;0</formula>
    </cfRule>
  </conditionalFormatting>
  <conditionalFormatting sqref="F89:F110">
    <cfRule type="expression" dxfId="1668" priority="15">
      <formula>F89&gt;0</formula>
    </cfRule>
    <cfRule type="expression" dxfId="1667" priority="16">
      <formula>F89&lt;0</formula>
    </cfRule>
  </conditionalFormatting>
  <conditionalFormatting sqref="H89:H110">
    <cfRule type="expression" dxfId="1666" priority="13">
      <formula>H89&gt;0</formula>
    </cfRule>
    <cfRule type="expression" dxfId="1665" priority="14">
      <formula>H89&lt;0</formula>
    </cfRule>
  </conditionalFormatting>
  <conditionalFormatting sqref="Q10">
    <cfRule type="expression" dxfId="1664" priority="11">
      <formula>Q10&gt;0</formula>
    </cfRule>
    <cfRule type="expression" dxfId="1663" priority="12">
      <formula>Q10&lt;0</formula>
    </cfRule>
  </conditionalFormatting>
  <conditionalFormatting sqref="J25:J38">
    <cfRule type="expression" dxfId="1662" priority="9">
      <formula>J25&gt;0</formula>
    </cfRule>
    <cfRule type="expression" dxfId="1661" priority="10">
      <formula>J25&lt;0</formula>
    </cfRule>
  </conditionalFormatting>
  <conditionalFormatting sqref="K25:K38">
    <cfRule type="expression" dxfId="1660" priority="7">
      <formula>K25&gt;0</formula>
    </cfRule>
    <cfRule type="expression" dxfId="1659" priority="8">
      <formula>K25&lt;0</formula>
    </cfRule>
  </conditionalFormatting>
  <conditionalFormatting sqref="L25:L34">
    <cfRule type="expression" dxfId="1658" priority="5">
      <formula>L25&gt;0</formula>
    </cfRule>
    <cfRule type="expression" dxfId="1657" priority="6">
      <formula>L25&lt;0</formula>
    </cfRule>
  </conditionalFormatting>
  <conditionalFormatting sqref="J43">
    <cfRule type="expression" dxfId="1656" priority="3">
      <formula>J43&gt;0</formula>
    </cfRule>
    <cfRule type="expression" dxfId="1655" priority="4">
      <formula>J43&lt;0</formula>
    </cfRule>
  </conditionalFormatting>
  <conditionalFormatting sqref="M25:M34">
    <cfRule type="expression" dxfId="1654" priority="1">
      <formula>M25&gt;0</formula>
    </cfRule>
    <cfRule type="expression" dxfId="1653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477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33.0199</v>
      </c>
      <c r="R4" s="498">
        <v>-3.3E-3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4952.9849999999997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-354.01500000000033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-354.01500000000033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-6.6707179197286665E-2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1021</v>
      </c>
      <c r="Q12" s="1" t="s">
        <v>1022</v>
      </c>
    </row>
    <row r="13" spans="1:21" x14ac:dyDescent="0.25">
      <c r="H13" s="70"/>
      <c r="O13" s="11" t="s">
        <v>997</v>
      </c>
      <c r="Q13">
        <f>Q4/2.5</f>
        <v>13.20796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36.321890000000003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35.991691000000003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35.661492000000003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35.331293000000002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35.001094000000002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" si="11">C28*(E28-D28)</f>
        <v>-228.00000000000045</v>
      </c>
      <c r="G28" s="39">
        <f t="shared" ref="G28" si="12">D28*C28</f>
        <v>5307</v>
      </c>
      <c r="H28" s="225">
        <f t="shared" ref="H28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34.670895000000002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34.340696000000001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34.010497000000001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33.680298000000001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33.350099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33.0199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32.689700999999999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32.359501999999999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32.029302999999999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31.699103999999998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31.368904999999998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31.038705999999998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30.708507000000001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30.378308000000001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30.048109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29.71791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2" priority="33">
      <formula>F47&gt;0</formula>
    </cfRule>
    <cfRule type="expression" dxfId="1651" priority="34">
      <formula>F47&lt;0</formula>
    </cfRule>
  </conditionalFormatting>
  <conditionalFormatting sqref="Q7">
    <cfRule type="expression" dxfId="1650" priority="31">
      <formula>Q7&gt;0</formula>
    </cfRule>
    <cfRule type="expression" dxfId="1649" priority="32">
      <formula>Q7&lt;0</formula>
    </cfRule>
  </conditionalFormatting>
  <conditionalFormatting sqref="Q8">
    <cfRule type="expression" dxfId="1648" priority="29">
      <formula>Q8&gt;0</formula>
    </cfRule>
    <cfRule type="expression" dxfId="1647" priority="30">
      <formula>Q8&lt;0</formula>
    </cfRule>
  </conditionalFormatting>
  <conditionalFormatting sqref="F30:F46">
    <cfRule type="expression" dxfId="1646" priority="27">
      <formula>F30&gt;0</formula>
    </cfRule>
    <cfRule type="expression" dxfId="1645" priority="28">
      <formula>F30&lt;0</formula>
    </cfRule>
  </conditionalFormatting>
  <conditionalFormatting sqref="H30:H46">
    <cfRule type="expression" dxfId="1644" priority="25">
      <formula>H30&gt;0</formula>
    </cfRule>
    <cfRule type="expression" dxfId="1643" priority="26">
      <formula>H30&lt;0</formula>
    </cfRule>
  </conditionalFormatting>
  <conditionalFormatting sqref="Q10">
    <cfRule type="expression" dxfId="1642" priority="23">
      <formula>Q10&gt;0</formula>
    </cfRule>
    <cfRule type="expression" dxfId="1641" priority="24">
      <formula>Q10&lt;0</formula>
    </cfRule>
  </conditionalFormatting>
  <conditionalFormatting sqref="J25:J38">
    <cfRule type="expression" dxfId="1640" priority="21">
      <formula>J25&gt;0</formula>
    </cfRule>
    <cfRule type="expression" dxfId="1639" priority="22">
      <formula>J25&lt;0</formula>
    </cfRule>
  </conditionalFormatting>
  <conditionalFormatting sqref="K25:K38">
    <cfRule type="expression" dxfId="1638" priority="19">
      <formula>K25&gt;0</formula>
    </cfRule>
    <cfRule type="expression" dxfId="1637" priority="20">
      <formula>K25&lt;0</formula>
    </cfRule>
  </conditionalFormatting>
  <conditionalFormatting sqref="L25:L38">
    <cfRule type="expression" dxfId="1636" priority="17">
      <formula>L25&gt;0</formula>
    </cfRule>
    <cfRule type="expression" dxfId="1635" priority="18">
      <formula>L25&lt;0</formula>
    </cfRule>
  </conditionalFormatting>
  <conditionalFormatting sqref="F89:F110">
    <cfRule type="expression" dxfId="1634" priority="15">
      <formula>F89&gt;0</formula>
    </cfRule>
    <cfRule type="expression" dxfId="1633" priority="16">
      <formula>F89&lt;0</formula>
    </cfRule>
  </conditionalFormatting>
  <conditionalFormatting sqref="H89:H110">
    <cfRule type="expression" dxfId="1632" priority="13">
      <formula>H89&gt;0</formula>
    </cfRule>
    <cfRule type="expression" dxfId="1631" priority="14">
      <formula>H89&lt;0</formula>
    </cfRule>
  </conditionalFormatting>
  <conditionalFormatting sqref="J89:J102">
    <cfRule type="expression" dxfId="1630" priority="11">
      <formula>J89&gt;0</formula>
    </cfRule>
    <cfRule type="expression" dxfId="1629" priority="12">
      <formula>J89&lt;0</formula>
    </cfRule>
  </conditionalFormatting>
  <conditionalFormatting sqref="K89:K102">
    <cfRule type="expression" dxfId="1628" priority="9">
      <formula>K89&gt;0</formula>
    </cfRule>
    <cfRule type="expression" dxfId="1627" priority="10">
      <formula>K89&lt;0</formula>
    </cfRule>
  </conditionalFormatting>
  <conditionalFormatting sqref="L89:L102">
    <cfRule type="expression" dxfId="1626" priority="7">
      <formula>L89&gt;0</formula>
    </cfRule>
    <cfRule type="expression" dxfId="1625" priority="8">
      <formula>L89&lt;0</formula>
    </cfRule>
  </conditionalFormatting>
  <conditionalFormatting sqref="F25:F29">
    <cfRule type="expression" dxfId="1624" priority="5">
      <formula>F25&gt;0</formula>
    </cfRule>
    <cfRule type="expression" dxfId="1623" priority="6">
      <formula>F25&lt;0</formula>
    </cfRule>
  </conditionalFormatting>
  <conditionalFormatting sqref="H25:H29">
    <cfRule type="expression" dxfId="1622" priority="3">
      <formula>H25&gt;0</formula>
    </cfRule>
    <cfRule type="expression" dxfId="1621" priority="4">
      <formula>H25&lt;0</formula>
    </cfRule>
  </conditionalFormatting>
  <conditionalFormatting sqref="F29">
    <cfRule type="expression" dxfId="1620" priority="1">
      <formula>F29&gt;0</formula>
    </cfRule>
    <cfRule type="expression" dxfId="161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982</v>
      </c>
      <c r="B2" s="477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93.979900000000001</v>
      </c>
      <c r="R4" s="498">
        <v>4.7000000000000002E-3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4698.9949999999999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169.99499999999989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169.99499999999989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3.7534775888717134E-2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6.8099668120523644E-3</v>
      </c>
      <c r="R11">
        <v>0.16</v>
      </c>
    </row>
    <row r="12" spans="1:21" x14ac:dyDescent="0.25">
      <c r="H12" s="70"/>
      <c r="O12" s="11" t="s">
        <v>1021</v>
      </c>
      <c r="Q12" s="1" t="s">
        <v>1023</v>
      </c>
    </row>
    <row r="13" spans="1:21" x14ac:dyDescent="0.25">
      <c r="H13" s="70"/>
      <c r="O13" s="11" t="s">
        <v>997</v>
      </c>
      <c r="Q13" s="2">
        <f>Q4/7.38</f>
        <v>12.734403794037942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103.37789000000001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102.43809100000001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101.49829200000001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100.55849300000001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99.618694000000005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98.678895000000011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97.739096000000004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96.79929700000001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95.859498000000002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94.919699000000008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93.979900000000001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93.040100999999993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92.100301999999999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91.160502999999991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90.220703999999998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89.28090499999999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88.341105999999996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87.401307000000003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86.461508000000009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85.521709000000001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84.581910000000008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8" priority="31">
      <formula>F47&gt;0</formula>
    </cfRule>
    <cfRule type="expression" dxfId="1617" priority="32">
      <formula>F47&lt;0</formula>
    </cfRule>
  </conditionalFormatting>
  <conditionalFormatting sqref="Q7">
    <cfRule type="expression" dxfId="1616" priority="29">
      <formula>Q7&gt;0</formula>
    </cfRule>
    <cfRule type="expression" dxfId="1615" priority="30">
      <formula>Q7&lt;0</formula>
    </cfRule>
  </conditionalFormatting>
  <conditionalFormatting sqref="Q8">
    <cfRule type="expression" dxfId="1614" priority="27">
      <formula>Q8&gt;0</formula>
    </cfRule>
    <cfRule type="expression" dxfId="1613" priority="28">
      <formula>Q8&lt;0</formula>
    </cfRule>
  </conditionalFormatting>
  <conditionalFormatting sqref="F30:F46">
    <cfRule type="expression" dxfId="1612" priority="25">
      <formula>F30&gt;0</formula>
    </cfRule>
    <cfRule type="expression" dxfId="1611" priority="26">
      <formula>F30&lt;0</formula>
    </cfRule>
  </conditionalFormatting>
  <conditionalFormatting sqref="H30:H46">
    <cfRule type="expression" dxfId="1610" priority="23">
      <formula>H30&gt;0</formula>
    </cfRule>
    <cfRule type="expression" dxfId="1609" priority="24">
      <formula>H30&lt;0</formula>
    </cfRule>
  </conditionalFormatting>
  <conditionalFormatting sqref="Q10">
    <cfRule type="expression" dxfId="1608" priority="21">
      <formula>Q10&gt;0</formula>
    </cfRule>
    <cfRule type="expression" dxfId="1607" priority="22">
      <formula>Q10&lt;0</formula>
    </cfRule>
  </conditionalFormatting>
  <conditionalFormatting sqref="J25:J38">
    <cfRule type="expression" dxfId="1606" priority="19">
      <formula>J25&gt;0</formula>
    </cfRule>
    <cfRule type="expression" dxfId="1605" priority="20">
      <formula>J25&lt;0</formula>
    </cfRule>
  </conditionalFormatting>
  <conditionalFormatting sqref="K25:K38">
    <cfRule type="expression" dxfId="1604" priority="17">
      <formula>K25&gt;0</formula>
    </cfRule>
    <cfRule type="expression" dxfId="1603" priority="18">
      <formula>K25&lt;0</formula>
    </cfRule>
  </conditionalFormatting>
  <conditionalFormatting sqref="L25:L38">
    <cfRule type="expression" dxfId="1602" priority="15">
      <formula>L25&gt;0</formula>
    </cfRule>
    <cfRule type="expression" dxfId="1601" priority="16">
      <formula>L25&lt;0</formula>
    </cfRule>
  </conditionalFormatting>
  <conditionalFormatting sqref="F89:F110">
    <cfRule type="expression" dxfId="1600" priority="13">
      <formula>F89&gt;0</formula>
    </cfRule>
    <cfRule type="expression" dxfId="1599" priority="14">
      <formula>F89&lt;0</formula>
    </cfRule>
  </conditionalFormatting>
  <conditionalFormatting sqref="H89:H110">
    <cfRule type="expression" dxfId="1598" priority="11">
      <formula>H89&gt;0</formula>
    </cfRule>
    <cfRule type="expression" dxfId="1597" priority="12">
      <formula>H89&lt;0</formula>
    </cfRule>
  </conditionalFormatting>
  <conditionalFormatting sqref="J89:J102">
    <cfRule type="expression" dxfId="1596" priority="9">
      <formula>J89&gt;0</formula>
    </cfRule>
    <cfRule type="expression" dxfId="1595" priority="10">
      <formula>J89&lt;0</formula>
    </cfRule>
  </conditionalFormatting>
  <conditionalFormatting sqref="K89:K102">
    <cfRule type="expression" dxfId="1594" priority="7">
      <formula>K89&gt;0</formula>
    </cfRule>
    <cfRule type="expression" dxfId="1593" priority="8">
      <formula>K89&lt;0</formula>
    </cfRule>
  </conditionalFormatting>
  <conditionalFormatting sqref="L89:L102">
    <cfRule type="expression" dxfId="1592" priority="5">
      <formula>L89&gt;0</formula>
    </cfRule>
    <cfRule type="expression" dxfId="1591" priority="6">
      <formula>L89&lt;0</formula>
    </cfRule>
  </conditionalFormatting>
  <conditionalFormatting sqref="F25:F29">
    <cfRule type="expression" dxfId="1590" priority="3">
      <formula>F25&gt;0</formula>
    </cfRule>
    <cfRule type="expression" dxfId="1589" priority="4">
      <formula>F25&lt;0</formula>
    </cfRule>
  </conditionalFormatting>
  <conditionalFormatting sqref="H25:H29">
    <cfRule type="expression" dxfId="1588" priority="1">
      <formula>H25&gt;0</formula>
    </cfRule>
    <cfRule type="expression" dxfId="15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77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948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63.95</v>
      </c>
      <c r="R4" s="498">
        <v>8.6999999999999994E-3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6395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338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338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5.5803202905728912E-2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4.1282251759186865E-2</v>
      </c>
      <c r="R11">
        <f>0.22</f>
        <v>0.22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Q4/4</f>
        <v>15.987500000000001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70.345000000000013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69.705500000000015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69.066000000000003</v>
      </c>
    </row>
    <row r="20" spans="1:16" x14ac:dyDescent="0.25">
      <c r="O20" s="81">
        <v>1.07</v>
      </c>
      <c r="P20" s="81">
        <f t="shared" si="1"/>
        <v>68.426500000000004</v>
      </c>
    </row>
    <row r="21" spans="1:16" x14ac:dyDescent="0.25">
      <c r="O21" s="81">
        <v>1.06</v>
      </c>
      <c r="P21" s="81">
        <f t="shared" si="1"/>
        <v>67.787000000000006</v>
      </c>
    </row>
    <row r="22" spans="1:16" x14ac:dyDescent="0.25">
      <c r="O22" s="81">
        <v>1.05</v>
      </c>
      <c r="P22" s="81">
        <f t="shared" si="1"/>
        <v>67.147500000000008</v>
      </c>
    </row>
    <row r="23" spans="1:16" x14ac:dyDescent="0.25">
      <c r="O23" s="81">
        <v>1.04</v>
      </c>
      <c r="P23" s="81">
        <f t="shared" si="1"/>
        <v>66.50800000000001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65.868500000000012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65.228999999999999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64.589500000000001</v>
      </c>
    </row>
    <row r="27" spans="1:16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O27" s="81">
        <v>1</v>
      </c>
      <c r="P27" s="81">
        <f t="shared" si="1"/>
        <v>63.95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0.99</v>
      </c>
      <c r="P28" s="81">
        <f t="shared" si="1"/>
        <v>63.310500000000005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0.98</v>
      </c>
      <c r="P29" s="81">
        <f t="shared" si="1"/>
        <v>62.670999999999999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0.97</v>
      </c>
      <c r="P30" s="81">
        <f t="shared" si="1"/>
        <v>62.031500000000001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0.96</v>
      </c>
      <c r="P31" s="81">
        <f t="shared" si="1"/>
        <v>61.392000000000003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0.95</v>
      </c>
      <c r="P32" s="81">
        <f t="shared" si="1"/>
        <v>60.752499999999998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60.113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59.473500000000008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58.834000000000003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58.194500000000005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57.555000000000007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6" priority="35">
      <formula>F47&gt;0</formula>
    </cfRule>
    <cfRule type="expression" dxfId="1585" priority="36">
      <formula>F47&lt;0</formula>
    </cfRule>
  </conditionalFormatting>
  <conditionalFormatting sqref="Q7">
    <cfRule type="expression" dxfId="1584" priority="33">
      <formula>Q7&gt;0</formula>
    </cfRule>
    <cfRule type="expression" dxfId="1583" priority="34">
      <formula>Q7&lt;0</formula>
    </cfRule>
  </conditionalFormatting>
  <conditionalFormatting sqref="Q8">
    <cfRule type="expression" dxfId="1582" priority="31">
      <formula>Q8&gt;0</formula>
    </cfRule>
    <cfRule type="expression" dxfId="1581" priority="32">
      <formula>Q8&lt;0</formula>
    </cfRule>
  </conditionalFormatting>
  <conditionalFormatting sqref="F30:F46">
    <cfRule type="expression" dxfId="1580" priority="29">
      <formula>F30&gt;0</formula>
    </cfRule>
    <cfRule type="expression" dxfId="1579" priority="30">
      <formula>F30&lt;0</formula>
    </cfRule>
  </conditionalFormatting>
  <conditionalFormatting sqref="H30:H46">
    <cfRule type="expression" dxfId="1578" priority="27">
      <formula>H30&gt;0</formula>
    </cfRule>
    <cfRule type="expression" dxfId="1577" priority="28">
      <formula>H30&lt;0</formula>
    </cfRule>
  </conditionalFormatting>
  <conditionalFormatting sqref="Q10">
    <cfRule type="expression" dxfId="1576" priority="25">
      <formula>Q10&gt;0</formula>
    </cfRule>
    <cfRule type="expression" dxfId="1575" priority="26">
      <formula>Q10&lt;0</formula>
    </cfRule>
  </conditionalFormatting>
  <conditionalFormatting sqref="J25:J38">
    <cfRule type="expression" dxfId="1574" priority="23">
      <formula>J25&gt;0</formula>
    </cfRule>
    <cfRule type="expression" dxfId="1573" priority="24">
      <formula>J25&lt;0</formula>
    </cfRule>
  </conditionalFormatting>
  <conditionalFormatting sqref="K25:K38">
    <cfRule type="expression" dxfId="1572" priority="21">
      <formula>K25&gt;0</formula>
    </cfRule>
    <cfRule type="expression" dxfId="1571" priority="22">
      <formula>K25&lt;0</formula>
    </cfRule>
  </conditionalFormatting>
  <conditionalFormatting sqref="L25:L38">
    <cfRule type="expression" dxfId="1570" priority="19">
      <formula>L25&gt;0</formula>
    </cfRule>
    <cfRule type="expression" dxfId="1569" priority="20">
      <formula>L25&lt;0</formula>
    </cfRule>
  </conditionalFormatting>
  <conditionalFormatting sqref="F89:F110">
    <cfRule type="expression" dxfId="1568" priority="17">
      <formula>F89&gt;0</formula>
    </cfRule>
    <cfRule type="expression" dxfId="1567" priority="18">
      <formula>F89&lt;0</formula>
    </cfRule>
  </conditionalFormatting>
  <conditionalFormatting sqref="H89:H110">
    <cfRule type="expression" dxfId="1566" priority="15">
      <formula>H89&gt;0</formula>
    </cfRule>
    <cfRule type="expression" dxfId="1565" priority="16">
      <formula>H89&lt;0</formula>
    </cfRule>
  </conditionalFormatting>
  <conditionalFormatting sqref="J89:J102">
    <cfRule type="expression" dxfId="1564" priority="13">
      <formula>J89&gt;0</formula>
    </cfRule>
    <cfRule type="expression" dxfId="1563" priority="14">
      <formula>J89&lt;0</formula>
    </cfRule>
  </conditionalFormatting>
  <conditionalFormatting sqref="K89:K102">
    <cfRule type="expression" dxfId="1562" priority="11">
      <formula>K89&gt;0</formula>
    </cfRule>
    <cfRule type="expression" dxfId="1561" priority="12">
      <formula>K89&lt;0</formula>
    </cfRule>
  </conditionalFormatting>
  <conditionalFormatting sqref="L89:L102">
    <cfRule type="expression" dxfId="1560" priority="9">
      <formula>L89&gt;0</formula>
    </cfRule>
    <cfRule type="expression" dxfId="1559" priority="10">
      <formula>L89&lt;0</formula>
    </cfRule>
  </conditionalFormatting>
  <conditionalFormatting sqref="F25 F27:F29">
    <cfRule type="expression" dxfId="1558" priority="7">
      <formula>F25&gt;0</formula>
    </cfRule>
    <cfRule type="expression" dxfId="1557" priority="8">
      <formula>F25&lt;0</formula>
    </cfRule>
  </conditionalFormatting>
  <conditionalFormatting sqref="H25 H27:H29">
    <cfRule type="expression" dxfId="1556" priority="5">
      <formula>H25&gt;0</formula>
    </cfRule>
    <cfRule type="expression" dxfId="1555" priority="6">
      <formula>H25&lt;0</formula>
    </cfRule>
  </conditionalFormatting>
  <conditionalFormatting sqref="F26">
    <cfRule type="expression" dxfId="1554" priority="3">
      <formula>F26&gt;0</formula>
    </cfRule>
    <cfRule type="expression" dxfId="1553" priority="4">
      <formula>F26&lt;0</formula>
    </cfRule>
  </conditionalFormatting>
  <conditionalFormatting sqref="H26">
    <cfRule type="expression" dxfId="1552" priority="1">
      <formula>H26&gt;0</formula>
    </cfRule>
    <cfRule type="expression" dxfId="155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942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835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35.14</v>
      </c>
      <c r="R4" s="498">
        <v>-5.9999999999999995E-4</v>
      </c>
      <c r="T4" s="779">
        <v>43103</v>
      </c>
      <c r="U4" s="30" t="s">
        <v>859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3514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-144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-144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-3.9365773646801529E-2</v>
      </c>
      <c r="T9" s="77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2.8457598178713715E-2</v>
      </c>
      <c r="R11">
        <v>0.5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Q4/3.47</f>
        <v>10.126801152737752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5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38.654000000000003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4">O42*$Q$4</f>
        <v>38.302600000000005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4"/>
        <v>37.9512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4"/>
        <v>37.599800000000002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4"/>
        <v>37.248400000000004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4"/>
        <v>36.897000000000006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4"/>
        <v>36.5456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4"/>
        <v>36.194200000000002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4"/>
        <v>35.842800000000004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4"/>
        <v>35.491399999999999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4"/>
        <v>35.14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4"/>
        <v>34.788600000000002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4"/>
        <v>34.437199999999997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4"/>
        <v>34.085799999999999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4"/>
        <v>33.734400000000001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4"/>
        <v>33.382999999999996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33.031599999999997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32.680199999999999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32.328800000000001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31.977400000000003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31.626000000000001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0" priority="31">
      <formula>F47&gt;0</formula>
    </cfRule>
    <cfRule type="expression" dxfId="1549" priority="32">
      <formula>F47&lt;0</formula>
    </cfRule>
  </conditionalFormatting>
  <conditionalFormatting sqref="Q7">
    <cfRule type="expression" dxfId="1548" priority="29">
      <formula>Q7&gt;0</formula>
    </cfRule>
    <cfRule type="expression" dxfId="1547" priority="30">
      <formula>Q7&lt;0</formula>
    </cfRule>
  </conditionalFormatting>
  <conditionalFormatting sqref="Q8">
    <cfRule type="expression" dxfId="1546" priority="27">
      <formula>Q8&gt;0</formula>
    </cfRule>
    <cfRule type="expression" dxfId="1545" priority="28">
      <formula>Q8&lt;0</formula>
    </cfRule>
  </conditionalFormatting>
  <conditionalFormatting sqref="F30:F46">
    <cfRule type="expression" dxfId="1544" priority="25">
      <formula>F30&gt;0</formula>
    </cfRule>
    <cfRule type="expression" dxfId="1543" priority="26">
      <formula>F30&lt;0</formula>
    </cfRule>
  </conditionalFormatting>
  <conditionalFormatting sqref="H30:H46">
    <cfRule type="expression" dxfId="1542" priority="23">
      <formula>H30&gt;0</formula>
    </cfRule>
    <cfRule type="expression" dxfId="1541" priority="24">
      <formula>H30&lt;0</formula>
    </cfRule>
  </conditionalFormatting>
  <conditionalFormatting sqref="Q10">
    <cfRule type="expression" dxfId="1540" priority="21">
      <formula>Q10&gt;0</formula>
    </cfRule>
    <cfRule type="expression" dxfId="1539" priority="22">
      <formula>Q10&lt;0</formula>
    </cfRule>
  </conditionalFormatting>
  <conditionalFormatting sqref="J25:J38">
    <cfRule type="expression" dxfId="1538" priority="19">
      <formula>J25&gt;0</formula>
    </cfRule>
    <cfRule type="expression" dxfId="1537" priority="20">
      <formula>J25&lt;0</formula>
    </cfRule>
  </conditionalFormatting>
  <conditionalFormatting sqref="K25:K38">
    <cfRule type="expression" dxfId="1536" priority="17">
      <formula>K25&gt;0</formula>
    </cfRule>
    <cfRule type="expression" dxfId="1535" priority="18">
      <formula>K25&lt;0</formula>
    </cfRule>
  </conditionalFormatting>
  <conditionalFormatting sqref="L25:L38">
    <cfRule type="expression" dxfId="1534" priority="15">
      <formula>L25&gt;0</formula>
    </cfRule>
    <cfRule type="expression" dxfId="1533" priority="16">
      <formula>L25&lt;0</formula>
    </cfRule>
  </conditionalFormatting>
  <conditionalFormatting sqref="F89:F110">
    <cfRule type="expression" dxfId="1532" priority="13">
      <formula>F89&gt;0</formula>
    </cfRule>
    <cfRule type="expression" dxfId="1531" priority="14">
      <formula>F89&lt;0</formula>
    </cfRule>
  </conditionalFormatting>
  <conditionalFormatting sqref="H89:H110">
    <cfRule type="expression" dxfId="1530" priority="11">
      <formula>H89&gt;0</formula>
    </cfRule>
    <cfRule type="expression" dxfId="1529" priority="12">
      <formula>H89&lt;0</formula>
    </cfRule>
  </conditionalFormatting>
  <conditionalFormatting sqref="J89:J102">
    <cfRule type="expression" dxfId="1528" priority="9">
      <formula>J89&gt;0</formula>
    </cfRule>
    <cfRule type="expression" dxfId="1527" priority="10">
      <formula>J89&lt;0</formula>
    </cfRule>
  </conditionalFormatting>
  <conditionalFormatting sqref="K89:K102">
    <cfRule type="expression" dxfId="1526" priority="7">
      <formula>K89&gt;0</formula>
    </cfRule>
    <cfRule type="expression" dxfId="1525" priority="8">
      <formula>K89&lt;0</formula>
    </cfRule>
  </conditionalFormatting>
  <conditionalFormatting sqref="L89:L102">
    <cfRule type="expression" dxfId="1524" priority="5">
      <formula>L89&gt;0</formula>
    </cfRule>
    <cfRule type="expression" dxfId="1523" priority="6">
      <formula>L89&lt;0</formula>
    </cfRule>
  </conditionalFormatting>
  <conditionalFormatting sqref="F25:F29">
    <cfRule type="expression" dxfId="1522" priority="3">
      <formula>F25&gt;0</formula>
    </cfRule>
    <cfRule type="expression" dxfId="1521" priority="4">
      <formula>F25&lt;0</formula>
    </cfRule>
  </conditionalFormatting>
  <conditionalFormatting sqref="H25:H29">
    <cfRule type="expression" dxfId="1520" priority="1">
      <formula>H25&gt;0</formula>
    </cfRule>
    <cfRule type="expression" dxfId="15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7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7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7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7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477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188.91</v>
      </c>
      <c r="R4" s="498">
        <v>5.0000000000000001E-4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3778.2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1050.0300000000011</v>
      </c>
      <c r="R7" s="29">
        <v>43213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907.00000000000091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0.31589579269991686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2.6467630088401885E-3</v>
      </c>
      <c r="S11">
        <v>0.5</v>
      </c>
      <c r="W11" s="134"/>
    </row>
    <row r="12" spans="1:23" x14ac:dyDescent="0.25">
      <c r="H12" s="70"/>
      <c r="O12" s="11" t="s">
        <v>968</v>
      </c>
      <c r="W12" s="134"/>
    </row>
    <row r="13" spans="1:23" x14ac:dyDescent="0.25">
      <c r="H13" s="70"/>
      <c r="O13" s="11" t="s">
        <v>997</v>
      </c>
      <c r="Q13">
        <f>Q4/6.86</f>
        <v>27.537900874635568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83" t="s">
        <v>113</v>
      </c>
      <c r="P16" s="683" t="s">
        <v>699</v>
      </c>
      <c r="Q16" s="683" t="s">
        <v>700</v>
      </c>
      <c r="R16" s="681" t="s">
        <v>693</v>
      </c>
      <c r="S16" s="681" t="s">
        <v>694</v>
      </c>
      <c r="T16" s="683" t="s">
        <v>696</v>
      </c>
      <c r="U16" s="683" t="s">
        <v>697</v>
      </c>
      <c r="V16" s="681" t="s">
        <v>695</v>
      </c>
      <c r="W16" s="682" t="s">
        <v>698</v>
      </c>
    </row>
    <row r="17" spans="1:23" x14ac:dyDescent="0.25">
      <c r="O17" s="684">
        <v>43013</v>
      </c>
      <c r="P17" s="680" t="s">
        <v>768</v>
      </c>
      <c r="Q17" s="680" t="s">
        <v>769</v>
      </c>
      <c r="R17" s="679">
        <v>2.02</v>
      </c>
      <c r="S17" s="677">
        <v>2.08</v>
      </c>
      <c r="T17" s="680">
        <v>41.55</v>
      </c>
      <c r="U17" s="680">
        <v>42.3</v>
      </c>
      <c r="V17" s="677"/>
      <c r="W17" s="678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O18" s="684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7805</v>
      </c>
      <c r="G19" s="346"/>
      <c r="H19" s="346">
        <f>SumByColor($A$19,H2:H17)</f>
        <v>30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997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5">
        <f t="shared" ref="H27" si="8">(E27-D27)/D27</f>
        <v>5.3747714808043738E-2</v>
      </c>
      <c r="I27" s="39">
        <v>148</v>
      </c>
      <c r="J27" s="39"/>
      <c r="K27" s="39"/>
      <c r="L27" s="157"/>
      <c r="O27" s="685"/>
      <c r="P27" s="680"/>
      <c r="Q27" s="680"/>
      <c r="R27" s="677"/>
      <c r="S27" s="677"/>
      <c r="T27" s="680"/>
      <c r="U27" s="680"/>
      <c r="V27" s="677"/>
      <c r="W27" s="678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5">
        <f t="shared" ref="H28:H32" si="11">(E28-D28)/D28</f>
        <v>1.3227340848374283E-2</v>
      </c>
      <c r="I28" s="39"/>
      <c r="J28" s="39"/>
      <c r="K28" s="39"/>
      <c r="L28" s="157"/>
      <c r="W28" s="134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5">
        <f t="shared" si="11"/>
        <v>4.1613452603602399E-2</v>
      </c>
      <c r="I29" s="39"/>
      <c r="J29" s="39"/>
      <c r="K29" s="39"/>
      <c r="L29" s="157"/>
      <c r="W29" s="134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5">
        <f t="shared" si="11"/>
        <v>2.461770966424234E-2</v>
      </c>
      <c r="I30" s="39"/>
      <c r="J30" s="39"/>
      <c r="K30" s="39"/>
      <c r="L30" s="157"/>
      <c r="W30" s="134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5">
        <f t="shared" si="11"/>
        <v>7.3046461012801239E-2</v>
      </c>
      <c r="I31" s="39"/>
      <c r="J31" s="39">
        <v>362</v>
      </c>
      <c r="K31" s="39"/>
      <c r="L31" s="157"/>
      <c r="W31" s="134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5">
        <f t="shared" si="11"/>
        <v>0.24202058964613854</v>
      </c>
      <c r="I32" s="39"/>
      <c r="J32" s="39">
        <v>865</v>
      </c>
      <c r="K32" s="39"/>
      <c r="L32" s="157"/>
      <c r="W32" s="134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5">
        <f t="shared" ref="H33:H34" si="14">(E33-D33)/D33</f>
        <v>0.25959793499736677</v>
      </c>
      <c r="I33" s="39"/>
      <c r="J33" s="39">
        <v>866</v>
      </c>
      <c r="K33" s="39"/>
      <c r="L33" s="157"/>
      <c r="W33" s="134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5">
        <f t="shared" si="14"/>
        <v>0.29001744264054735</v>
      </c>
      <c r="I34" s="39"/>
      <c r="J34" s="39">
        <v>1008</v>
      </c>
      <c r="K34" s="39"/>
      <c r="L34" s="157"/>
      <c r="W34" s="134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5">
        <f t="shared" ref="H35:H37" si="17">(E35-D35)/D35</f>
        <v>0.26204213068562998</v>
      </c>
      <c r="I35" s="39"/>
      <c r="J35" s="39">
        <v>924</v>
      </c>
      <c r="K35" s="39"/>
      <c r="L35" s="157"/>
      <c r="W35" s="134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5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5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5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1">C39*(E39-D39)</f>
        <v>857.59999999999991</v>
      </c>
      <c r="G39" s="39">
        <f t="shared" ref="G39:G40" si="22">D39*C39</f>
        <v>6631.2</v>
      </c>
      <c r="H39" s="225">
        <f t="shared" ref="H39:H40" si="23">(E39-D39)/D39</f>
        <v>0.12932802509349739</v>
      </c>
      <c r="I39" s="39"/>
      <c r="J39" s="39">
        <v>1001</v>
      </c>
      <c r="K39" s="39">
        <v>47</v>
      </c>
      <c r="L39" s="39">
        <v>26.82</v>
      </c>
      <c r="W39" s="134"/>
    </row>
    <row r="40" spans="1:23" ht="20.25" thickBot="1" x14ac:dyDescent="0.35">
      <c r="A40">
        <v>0</v>
      </c>
      <c r="B40" s="187">
        <v>43202</v>
      </c>
      <c r="C40" s="10">
        <v>20</v>
      </c>
      <c r="D40" s="39">
        <v>143.56</v>
      </c>
      <c r="E40" s="39">
        <v>188.82</v>
      </c>
      <c r="F40" s="39">
        <f t="shared" si="21"/>
        <v>905.19999999999982</v>
      </c>
      <c r="G40" s="39">
        <f t="shared" si="22"/>
        <v>2871.2</v>
      </c>
      <c r="H40" s="225">
        <f t="shared" si="23"/>
        <v>0.31526887712454715</v>
      </c>
      <c r="I40" s="232" t="s">
        <v>1027</v>
      </c>
      <c r="J40" s="39">
        <v>1048</v>
      </c>
      <c r="K40" s="39"/>
      <c r="L40" s="39">
        <v>27.52</v>
      </c>
      <c r="O40" s="847" t="s">
        <v>78</v>
      </c>
      <c r="P40" s="847"/>
      <c r="W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207.80100000000002</v>
      </c>
      <c r="Q41" s="2"/>
      <c r="W41" s="134"/>
    </row>
    <row r="42" spans="1:23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24">O42*$Q$4</f>
        <v>205.9119</v>
      </c>
      <c r="Q42" s="2"/>
      <c r="T42" s="89"/>
      <c r="W42" s="134"/>
    </row>
    <row r="43" spans="1:23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24"/>
        <v>204.02280000000002</v>
      </c>
      <c r="Q43" s="2"/>
      <c r="T43" s="125"/>
      <c r="U43" s="126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24"/>
        <v>202.1337</v>
      </c>
      <c r="Q44" s="2"/>
      <c r="T44" s="91"/>
      <c r="U44" s="127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24"/>
        <v>200.24460000000002</v>
      </c>
      <c r="Q45" s="2"/>
      <c r="T45" s="91"/>
      <c r="U45" s="127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24"/>
        <v>198.35550000000001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24"/>
        <v>196.46639999999999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24"/>
        <v>194.57730000000001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24"/>
        <v>192.68819999999999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24"/>
        <v>190.79910000000001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24"/>
        <v>188.91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24"/>
        <v>187.02089999999998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24"/>
        <v>185.1318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24"/>
        <v>183.24269999999999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24"/>
        <v>181.3536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24"/>
        <v>179.46449999999999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24"/>
        <v>177.57539999999997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24"/>
        <v>175.68630000000002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24"/>
        <v>173.7972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24"/>
        <v>171.90809999999999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24"/>
        <v>170.01900000000001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31" x14ac:dyDescent="0.25">
      <c r="A68" s="516"/>
      <c r="B68" s="437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7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18"/>
      <c r="B69" s="477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3020</v>
      </c>
      <c r="G84" s="520"/>
      <c r="H84" s="542">
        <f>SUM(H68:H71)</f>
        <v>20</v>
      </c>
      <c r="I84" s="521"/>
      <c r="J84" s="521"/>
      <c r="K84" s="521">
        <f>SUM(K68:K71)</f>
        <v>3151.53</v>
      </c>
      <c r="L84" s="520"/>
      <c r="M84" s="521">
        <f>SUM(M68:M76)</f>
        <v>11.5</v>
      </c>
    </row>
    <row r="85" spans="1:13" ht="15.75" thickBot="1" x14ac:dyDescent="0.3">
      <c r="A85" s="522" t="s">
        <v>194</v>
      </c>
      <c r="B85" s="523"/>
      <c r="C85" s="524">
        <f>SumByColor($A$19,C68:C83)</f>
        <v>20</v>
      </c>
      <c r="D85" s="524"/>
      <c r="E85" s="524"/>
      <c r="F85" s="525">
        <f>SumByColor($A$19,F68:F83)</f>
        <v>3020</v>
      </c>
      <c r="G85" s="524"/>
      <c r="H85" s="524">
        <f>SumByColor($A$19,H68:H83)</f>
        <v>20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6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18" priority="24">
      <formula>F47&gt;0</formula>
    </cfRule>
    <cfRule type="expression" dxfId="1517" priority="25">
      <formula>F47&lt;0</formula>
    </cfRule>
  </conditionalFormatting>
  <conditionalFormatting sqref="Q7">
    <cfRule type="expression" dxfId="1516" priority="22">
      <formula>Q7&gt;0</formula>
    </cfRule>
    <cfRule type="expression" dxfId="1515" priority="23">
      <formula>Q7&lt;0</formula>
    </cfRule>
  </conditionalFormatting>
  <conditionalFormatting sqref="Q8">
    <cfRule type="expression" dxfId="1514" priority="20">
      <formula>Q8&gt;0</formula>
    </cfRule>
    <cfRule type="expression" dxfId="1513" priority="21">
      <formula>Q8&lt;0</formula>
    </cfRule>
  </conditionalFormatting>
  <conditionalFormatting sqref="F25:F46">
    <cfRule type="expression" dxfId="1512" priority="18">
      <formula>F25&gt;0</formula>
    </cfRule>
    <cfRule type="expression" dxfId="1511" priority="19">
      <formula>F25&lt;0</formula>
    </cfRule>
  </conditionalFormatting>
  <conditionalFormatting sqref="H25:H46">
    <cfRule type="expression" dxfId="1510" priority="16">
      <formula>H25&gt;0</formula>
    </cfRule>
    <cfRule type="expression" dxfId="1509" priority="17">
      <formula>H25&lt;0</formula>
    </cfRule>
  </conditionalFormatting>
  <conditionalFormatting sqref="F89:F110">
    <cfRule type="expression" dxfId="1508" priority="14">
      <formula>F89&gt;0</formula>
    </cfRule>
    <cfRule type="expression" dxfId="1507" priority="15">
      <formula>F89&lt;0</formula>
    </cfRule>
  </conditionalFormatting>
  <conditionalFormatting sqref="H89:H110">
    <cfRule type="expression" dxfId="1506" priority="12">
      <formula>H89&gt;0</formula>
    </cfRule>
    <cfRule type="expression" dxfId="1505" priority="13">
      <formula>H89&lt;0</formula>
    </cfRule>
  </conditionalFormatting>
  <conditionalFormatting sqref="Q10">
    <cfRule type="expression" dxfId="1504" priority="10">
      <formula>Q10&gt;0</formula>
    </cfRule>
    <cfRule type="expression" dxfId="1503" priority="11">
      <formula>Q10&lt;0</formula>
    </cfRule>
  </conditionalFormatting>
  <conditionalFormatting sqref="J25:J39">
    <cfRule type="expression" dxfId="1502" priority="8">
      <formula>J25&gt;0</formula>
    </cfRule>
    <cfRule type="expression" dxfId="1501" priority="9">
      <formula>J25&lt;0</formula>
    </cfRule>
  </conditionalFormatting>
  <conditionalFormatting sqref="K25:K38">
    <cfRule type="expression" dxfId="1500" priority="6">
      <formula>K25&gt;0</formula>
    </cfRule>
    <cfRule type="expression" dxfId="1499" priority="7">
      <formula>K25&lt;0</formula>
    </cfRule>
  </conditionalFormatting>
  <conditionalFormatting sqref="L25:L38">
    <cfRule type="expression" dxfId="1498" priority="4">
      <formula>L25&gt;0</formula>
    </cfRule>
    <cfRule type="expression" dxfId="149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20">
      <iconSet iconSet="3Arrows">
        <cfvo type="percent" val="0"/>
        <cfvo type="num" val="0"/>
        <cfvo type="num" val="0"/>
      </iconSet>
    </cfRule>
  </conditionalFormatting>
  <conditionalFormatting sqref="J40:J45">
    <cfRule type="expression" dxfId="1496" priority="1">
      <formula>J40&gt;0</formula>
    </cfRule>
    <cfRule type="expression" dxfId="1495" priority="2">
      <formula>J40&lt;0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7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7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7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7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9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37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7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8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37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7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37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7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37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7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37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7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37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37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37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7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37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7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37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37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37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36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7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7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37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7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37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7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37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6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7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36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7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36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7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36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7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6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7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36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37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6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7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6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37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6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7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6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7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7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37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7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37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7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37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7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7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7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7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7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37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9" t="s">
        <v>78</v>
      </c>
      <c r="P42" s="359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7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7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7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37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5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7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7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7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7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7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7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7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7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7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7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7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37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7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7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7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7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7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7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7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37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7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7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6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37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7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7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7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37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7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7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7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37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7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5"/>
      <c r="B65" s="437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7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5"/>
      <c r="B66" s="437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7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5"/>
      <c r="B67" s="437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7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4"/>
      <c r="B68" s="437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7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4"/>
      <c r="B69" s="437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7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4"/>
      <c r="B70" s="437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7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4"/>
      <c r="B71" s="437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7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4"/>
      <c r="B72" s="437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7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4"/>
      <c r="B73" s="437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7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7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7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7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7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7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7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7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7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7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7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7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7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7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7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7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7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7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7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7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7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7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7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7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7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5"/>
    </row>
    <row r="86" spans="2:21" ht="15" customHeight="1" x14ac:dyDescent="0.25">
      <c r="B86" s="437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7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5"/>
      <c r="Q86" s="1"/>
      <c r="R86" s="2"/>
    </row>
    <row r="87" spans="2:21" x14ac:dyDescent="0.25">
      <c r="B87" s="437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7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8"/>
    </row>
    <row r="88" spans="2:21" x14ac:dyDescent="0.25">
      <c r="B88" s="437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7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78"/>
    </row>
    <row r="89" spans="2:21" ht="15" customHeight="1" x14ac:dyDescent="0.25">
      <c r="B89" s="437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7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7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7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7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7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7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7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7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7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7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7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7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7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7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7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7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0"/>
      <c r="B98" s="437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7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0"/>
      <c r="B99" s="437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7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7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7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7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7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7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7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7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7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7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7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7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7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7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0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3">
        <v>1500</v>
      </c>
      <c r="D151" s="56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0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0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4">
        <v>3000</v>
      </c>
      <c r="D177" s="47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4">
        <v>3000</v>
      </c>
      <c r="D195" s="47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4">
        <v>3000</v>
      </c>
      <c r="D218" s="47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4">
        <v>3000</v>
      </c>
      <c r="D231" s="47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4">
        <v>3000</v>
      </c>
      <c r="D233" s="47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0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5" t="s">
        <v>325</v>
      </c>
      <c r="J235" s="39"/>
      <c r="K235" s="39"/>
    </row>
    <row r="236" spans="1:11" x14ac:dyDescent="0.25">
      <c r="A236" t="s">
        <v>335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361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361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379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383</v>
      </c>
      <c r="B240" s="187">
        <v>42766</v>
      </c>
      <c r="C240" s="410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399</v>
      </c>
      <c r="B241" s="187">
        <v>42769</v>
      </c>
      <c r="C241" s="410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5">
        <v>24.5</v>
      </c>
      <c r="J241" s="39"/>
      <c r="K241" s="39"/>
    </row>
    <row r="242" spans="1:11" x14ac:dyDescent="0.25">
      <c r="A242" t="s">
        <v>406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409</v>
      </c>
      <c r="B243" s="187">
        <v>42773</v>
      </c>
      <c r="C243" s="424">
        <v>3000</v>
      </c>
      <c r="D243" s="47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414</v>
      </c>
      <c r="B244" s="187">
        <v>42774</v>
      </c>
      <c r="C244" s="410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5">
        <v>24.5</v>
      </c>
      <c r="J244" s="39"/>
      <c r="K244" s="39"/>
    </row>
    <row r="245" spans="1:11" x14ac:dyDescent="0.25">
      <c r="A245" t="s">
        <v>415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416</v>
      </c>
      <c r="B246" s="187">
        <v>42775</v>
      </c>
      <c r="C246" s="424">
        <v>3000</v>
      </c>
      <c r="D246" s="47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76">
        <v>20</v>
      </c>
      <c r="J246" s="39"/>
      <c r="K246" s="39"/>
    </row>
    <row r="247" spans="1:11" x14ac:dyDescent="0.25">
      <c r="A247" t="s">
        <v>421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421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421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0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3">
        <v>1500</v>
      </c>
      <c r="D265" s="56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3" priority="74">
      <formula>F12&gt;0</formula>
    </cfRule>
    <cfRule type="expression" dxfId="14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1" priority="67">
      <formula>F124&gt;0</formula>
    </cfRule>
    <cfRule type="expression" dxfId="1480" priority="68">
      <formula>F124&lt;0</formula>
    </cfRule>
  </conditionalFormatting>
  <conditionalFormatting sqref="H124:H130">
    <cfRule type="expression" dxfId="1479" priority="55">
      <formula>H124&gt;0</formula>
    </cfRule>
    <cfRule type="expression" dxfId="1478" priority="56">
      <formula>H124&lt;0</formula>
    </cfRule>
  </conditionalFormatting>
  <conditionalFormatting sqref="H131">
    <cfRule type="expression" dxfId="1477" priority="53">
      <formula>H131&gt;0</formula>
    </cfRule>
    <cfRule type="expression" dxfId="1476" priority="54">
      <formula>H131&lt;0</formula>
    </cfRule>
  </conditionalFormatting>
  <conditionalFormatting sqref="H132">
    <cfRule type="expression" dxfId="1475" priority="51">
      <formula>H132&gt;0</formula>
    </cfRule>
    <cfRule type="expression" dxfId="1474" priority="52">
      <formula>H132&lt;0</formula>
    </cfRule>
  </conditionalFormatting>
  <conditionalFormatting sqref="H133:H135">
    <cfRule type="expression" dxfId="1473" priority="49">
      <formula>H133&gt;0</formula>
    </cfRule>
    <cfRule type="expression" dxfId="1472" priority="50">
      <formula>H133&lt;0</formula>
    </cfRule>
  </conditionalFormatting>
  <conditionalFormatting sqref="H136">
    <cfRule type="expression" dxfId="1471" priority="45">
      <formula>H136&gt;0</formula>
    </cfRule>
    <cfRule type="expression" dxfId="1470" priority="46">
      <formula>H136&lt;0</formula>
    </cfRule>
  </conditionalFormatting>
  <conditionalFormatting sqref="Q7">
    <cfRule type="expression" dxfId="1469" priority="39">
      <formula>Q7&gt;0</formula>
    </cfRule>
    <cfRule type="expression" dxfId="1468" priority="40">
      <formula>Q7&lt;0</formula>
    </cfRule>
  </conditionalFormatting>
  <conditionalFormatting sqref="Q8">
    <cfRule type="expression" dxfId="1467" priority="37">
      <formula>Q8&gt;0</formula>
    </cfRule>
    <cfRule type="expression" dxfId="1466" priority="38">
      <formula>Q8&lt;0</formula>
    </cfRule>
  </conditionalFormatting>
  <conditionalFormatting sqref="F167:F178 H167:H178">
    <cfRule type="expression" dxfId="1465" priority="35">
      <formula>F167&gt;0</formula>
    </cfRule>
    <cfRule type="expression" dxfId="1464" priority="36">
      <formula>F167&lt;0</formula>
    </cfRule>
  </conditionalFormatting>
  <conditionalFormatting sqref="F183:F197 H183:H197">
    <cfRule type="expression" dxfId="1463" priority="33">
      <formula>F183&gt;0</formula>
    </cfRule>
    <cfRule type="expression" dxfId="1462" priority="34">
      <formula>F183&lt;0</formula>
    </cfRule>
  </conditionalFormatting>
  <conditionalFormatting sqref="F198:F206 H198:H206">
    <cfRule type="expression" dxfId="1461" priority="31">
      <formula>F198&gt;0</formula>
    </cfRule>
    <cfRule type="expression" dxfId="1460" priority="32">
      <formula>F198&lt;0</formula>
    </cfRule>
  </conditionalFormatting>
  <conditionalFormatting sqref="F141:F147 H141:H147">
    <cfRule type="expression" dxfId="1459" priority="29">
      <formula>F141&gt;0</formula>
    </cfRule>
    <cfRule type="expression" dxfId="1458" priority="30">
      <formula>F141&lt;0</formula>
    </cfRule>
  </conditionalFormatting>
  <conditionalFormatting sqref="H149:H152 F149:F152">
    <cfRule type="expression" dxfId="1457" priority="27">
      <formula>F149&gt;0</formula>
    </cfRule>
    <cfRule type="expression" dxfId="1456" priority="28">
      <formula>F149&lt;0</formula>
    </cfRule>
  </conditionalFormatting>
  <conditionalFormatting sqref="F226 H215:H218 H257:H260 F257:F260 H226 H231:H233 F231:F233 F235:F244 H235:H244">
    <cfRule type="expression" dxfId="1455" priority="25">
      <formula>F215&gt;0</formula>
    </cfRule>
    <cfRule type="expression" dxfId="1454" priority="26">
      <formula>F215&lt;0</formula>
    </cfRule>
  </conditionalFormatting>
  <conditionalFormatting sqref="F207:F218">
    <cfRule type="expression" dxfId="1453" priority="23">
      <formula>F207&gt;0</formula>
    </cfRule>
    <cfRule type="expression" dxfId="1452" priority="24">
      <formula>F207&lt;0</formula>
    </cfRule>
  </conditionalFormatting>
  <conditionalFormatting sqref="H207:H208">
    <cfRule type="expression" dxfId="1451" priority="21">
      <formula>H207&gt;0</formula>
    </cfRule>
    <cfRule type="expression" dxfId="1450" priority="22">
      <formula>H207&lt;0</formula>
    </cfRule>
  </conditionalFormatting>
  <conditionalFormatting sqref="H209">
    <cfRule type="expression" dxfId="1449" priority="19">
      <formula>H209&gt;0</formula>
    </cfRule>
    <cfRule type="expression" dxfId="1448" priority="20">
      <formula>H209&lt;0</formula>
    </cfRule>
  </conditionalFormatting>
  <conditionalFormatting sqref="H210">
    <cfRule type="expression" dxfId="1447" priority="17">
      <formula>H210&gt;0</formula>
    </cfRule>
    <cfRule type="expression" dxfId="1446" priority="18">
      <formula>H210&lt;0</formula>
    </cfRule>
  </conditionalFormatting>
  <conditionalFormatting sqref="H211:H213">
    <cfRule type="expression" dxfId="1445" priority="15">
      <formula>H211&gt;0</formula>
    </cfRule>
    <cfRule type="expression" dxfId="1444" priority="16">
      <formula>H211&lt;0</formula>
    </cfRule>
  </conditionalFormatting>
  <conditionalFormatting sqref="H214">
    <cfRule type="expression" dxfId="1443" priority="13">
      <formula>H214&gt;0</formula>
    </cfRule>
    <cfRule type="expression" dxfId="1442" priority="14">
      <formula>H214&lt;0</formula>
    </cfRule>
  </conditionalFormatting>
  <conditionalFormatting sqref="F245:F256 H245:H256">
    <cfRule type="expression" dxfId="1441" priority="11">
      <formula>F245&gt;0</formula>
    </cfRule>
    <cfRule type="expression" dxfId="1440" priority="12">
      <formula>F245&lt;0</formula>
    </cfRule>
  </conditionalFormatting>
  <conditionalFormatting sqref="F261:F275 H261:H275">
    <cfRule type="expression" dxfId="1439" priority="9">
      <formula>F261&gt;0</formula>
    </cfRule>
    <cfRule type="expression" dxfId="1438" priority="10">
      <formula>F261&lt;0</formula>
    </cfRule>
  </conditionalFormatting>
  <conditionalFormatting sqref="F276:F283 H276:H283">
    <cfRule type="expression" dxfId="1437" priority="7">
      <formula>F276&gt;0</formula>
    </cfRule>
    <cfRule type="expression" dxfId="1436" priority="8">
      <formula>F276&lt;0</formula>
    </cfRule>
  </conditionalFormatting>
  <conditionalFormatting sqref="F219:F225 H219:H225">
    <cfRule type="expression" dxfId="1435" priority="5">
      <formula>F219&gt;0</formula>
    </cfRule>
    <cfRule type="expression" dxfId="1434" priority="6">
      <formula>F219&lt;0</formula>
    </cfRule>
  </conditionalFormatting>
  <conditionalFormatting sqref="H227:H230 F227:F230">
    <cfRule type="expression" dxfId="1433" priority="3">
      <formula>F227&gt;0</formula>
    </cfRule>
    <cfRule type="expression" dxfId="1432" priority="4">
      <formula>F227&lt;0</formula>
    </cfRule>
  </conditionalFormatting>
  <conditionalFormatting sqref="H234 F234">
    <cfRule type="expression" dxfId="1431" priority="1">
      <formula>F234&gt;0</formula>
    </cfRule>
    <cfRule type="expression" dxfId="14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78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7" t="s">
        <v>78</v>
      </c>
      <c r="P40" s="84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0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1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1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5">
        <v>42768</v>
      </c>
      <c r="C74" s="634">
        <v>40</v>
      </c>
      <c r="D74" s="632">
        <v>91.52</v>
      </c>
      <c r="E74" s="632">
        <v>0</v>
      </c>
      <c r="F74" s="632">
        <f>D74*C74+E74</f>
        <v>3660.7999999999997</v>
      </c>
      <c r="G74" s="645">
        <v>42803</v>
      </c>
      <c r="H74" s="634">
        <v>20</v>
      </c>
      <c r="I74" s="632">
        <v>91.58</v>
      </c>
      <c r="J74" s="632">
        <v>0.04</v>
      </c>
      <c r="K74" s="632">
        <f>I74*H74-J74</f>
        <v>1831.56</v>
      </c>
      <c r="L74" s="633"/>
      <c r="M74" s="632"/>
    </row>
    <row r="75" spans="1:31" x14ac:dyDescent="0.25">
      <c r="A75" s="253"/>
      <c r="B75" s="645">
        <v>42768</v>
      </c>
      <c r="C75" s="634">
        <v>40</v>
      </c>
      <c r="D75" s="632">
        <v>88.8</v>
      </c>
      <c r="E75" s="632">
        <v>0</v>
      </c>
      <c r="F75" s="632">
        <f>D75*C75+E75</f>
        <v>3552</v>
      </c>
      <c r="G75" s="645">
        <v>42803</v>
      </c>
      <c r="H75" s="643">
        <v>20</v>
      </c>
      <c r="I75" s="632">
        <v>92.2</v>
      </c>
      <c r="J75" s="632">
        <v>0.04</v>
      </c>
      <c r="K75" s="632">
        <f t="shared" ref="K75:K76" si="3">I75*H75-J75</f>
        <v>1843.96</v>
      </c>
      <c r="L75" s="634"/>
      <c r="M75" s="634"/>
    </row>
    <row r="76" spans="1:31" x14ac:dyDescent="0.25">
      <c r="A76" s="253"/>
      <c r="B76" s="645"/>
      <c r="C76" s="634"/>
      <c r="D76" s="632"/>
      <c r="E76" s="632"/>
      <c r="F76" s="632"/>
      <c r="G76" s="645">
        <v>42803</v>
      </c>
      <c r="H76" s="643">
        <v>40</v>
      </c>
      <c r="I76" s="632">
        <v>93</v>
      </c>
      <c r="J76" s="632">
        <v>0.08</v>
      </c>
      <c r="K76" s="632">
        <f t="shared" si="3"/>
        <v>3719.92</v>
      </c>
      <c r="L76" s="634"/>
      <c r="M76" s="634"/>
    </row>
    <row r="77" spans="1:31" x14ac:dyDescent="0.25">
      <c r="A77" s="253"/>
      <c r="B77" s="551"/>
      <c r="C77" s="253"/>
      <c r="D77" s="254"/>
      <c r="E77" s="254"/>
      <c r="F77" s="254"/>
      <c r="G77" s="551"/>
      <c r="H77" s="259"/>
      <c r="I77" s="254"/>
      <c r="J77" s="254"/>
      <c r="K77" s="254"/>
      <c r="L77" s="253"/>
      <c r="M77" s="253"/>
    </row>
    <row r="78" spans="1:31" x14ac:dyDescent="0.25">
      <c r="A78" s="253"/>
      <c r="B78" s="551"/>
      <c r="C78" s="253"/>
      <c r="D78" s="254"/>
      <c r="E78" s="254"/>
      <c r="F78" s="254"/>
      <c r="G78" s="551"/>
      <c r="H78" s="259"/>
      <c r="I78" s="254"/>
      <c r="J78" s="254"/>
      <c r="K78" s="254"/>
      <c r="L78" s="253"/>
      <c r="M78" s="253"/>
    </row>
    <row r="79" spans="1:31" x14ac:dyDescent="0.25">
      <c r="A79" s="253"/>
      <c r="B79" s="551"/>
      <c r="C79" s="253"/>
      <c r="D79" s="254"/>
      <c r="E79" s="254"/>
      <c r="F79" s="254"/>
      <c r="G79" s="551"/>
      <c r="H79" s="259"/>
      <c r="I79" s="254"/>
      <c r="J79" s="254"/>
      <c r="K79" s="254"/>
      <c r="L79" s="253"/>
      <c r="M79" s="253"/>
    </row>
    <row r="80" spans="1:31" x14ac:dyDescent="0.25">
      <c r="A80" s="253"/>
      <c r="B80" s="551"/>
      <c r="C80" s="253"/>
      <c r="D80" s="254"/>
      <c r="E80" s="254"/>
      <c r="F80" s="254"/>
      <c r="G80" s="551"/>
      <c r="H80" s="259"/>
      <c r="I80" s="254"/>
      <c r="J80" s="254"/>
      <c r="K80" s="254"/>
      <c r="L80" s="253"/>
      <c r="M80" s="253"/>
    </row>
    <row r="81" spans="1:13" x14ac:dyDescent="0.25">
      <c r="A81" s="253"/>
      <c r="B81" s="551"/>
      <c r="C81" s="253"/>
      <c r="D81" s="254"/>
      <c r="E81" s="254"/>
      <c r="F81" s="254"/>
      <c r="G81" s="551"/>
      <c r="H81" s="259"/>
      <c r="I81" s="254"/>
      <c r="J81" s="254"/>
      <c r="K81" s="254"/>
      <c r="L81" s="253"/>
      <c r="M81" s="253"/>
    </row>
    <row r="82" spans="1:13" x14ac:dyDescent="0.25">
      <c r="A82" s="253"/>
      <c r="B82" s="551"/>
      <c r="C82" s="253"/>
      <c r="D82" s="254"/>
      <c r="E82" s="254"/>
      <c r="F82" s="254"/>
      <c r="G82" s="551"/>
      <c r="H82" s="259"/>
      <c r="I82" s="254"/>
      <c r="J82" s="254"/>
      <c r="K82" s="254"/>
      <c r="L82" s="253"/>
      <c r="M82" s="253"/>
    </row>
    <row r="83" spans="1:13" x14ac:dyDescent="0.25">
      <c r="A83" s="253"/>
      <c r="B83" s="551"/>
      <c r="C83" s="253"/>
      <c r="D83" s="254"/>
      <c r="E83" s="254"/>
      <c r="F83" s="254"/>
      <c r="G83" s="551"/>
      <c r="H83" s="259"/>
      <c r="I83" s="254"/>
      <c r="J83" s="254"/>
      <c r="K83" s="254"/>
      <c r="L83" s="253"/>
      <c r="M83" s="253"/>
    </row>
    <row r="84" spans="1:13" x14ac:dyDescent="0.25">
      <c r="A84" s="253"/>
      <c r="B84" s="551"/>
      <c r="C84" s="253"/>
      <c r="D84" s="254"/>
      <c r="E84" s="254"/>
      <c r="F84" s="254"/>
      <c r="G84" s="551"/>
      <c r="H84" s="259"/>
      <c r="I84" s="254"/>
      <c r="J84" s="254"/>
      <c r="K84" s="254"/>
      <c r="L84" s="253"/>
      <c r="M84" s="253"/>
    </row>
    <row r="85" spans="1:13" x14ac:dyDescent="0.25">
      <c r="A85" s="253"/>
      <c r="B85" s="551"/>
      <c r="C85" s="253"/>
      <c r="D85" s="254"/>
      <c r="E85" s="254"/>
      <c r="F85" s="254"/>
      <c r="G85" s="551"/>
      <c r="H85" s="259"/>
      <c r="I85" s="254"/>
      <c r="J85" s="254"/>
      <c r="K85" s="254"/>
      <c r="L85" s="253"/>
      <c r="M85" s="253"/>
    </row>
    <row r="86" spans="1:13" x14ac:dyDescent="0.25">
      <c r="A86" s="253"/>
      <c r="B86" s="551"/>
      <c r="C86" s="253"/>
      <c r="D86" s="254"/>
      <c r="E86" s="254"/>
      <c r="F86" s="254"/>
      <c r="G86" s="551"/>
      <c r="H86" s="259"/>
      <c r="I86" s="254"/>
      <c r="J86" s="254"/>
      <c r="K86" s="254"/>
      <c r="L86" s="253"/>
      <c r="M86" s="253"/>
    </row>
    <row r="87" spans="1:13" x14ac:dyDescent="0.25">
      <c r="A87" s="253"/>
      <c r="B87" s="551"/>
      <c r="C87" s="253"/>
      <c r="D87" s="254"/>
      <c r="E87" s="254"/>
      <c r="F87" s="254"/>
      <c r="G87" s="551"/>
      <c r="H87" s="259"/>
      <c r="I87" s="254"/>
      <c r="J87" s="254"/>
      <c r="K87" s="254"/>
      <c r="L87" s="253"/>
      <c r="M87" s="253"/>
    </row>
    <row r="88" spans="1:13" x14ac:dyDescent="0.25">
      <c r="A88" s="253"/>
      <c r="B88" s="551"/>
      <c r="C88" s="253"/>
      <c r="D88" s="254"/>
      <c r="E88" s="254"/>
      <c r="F88" s="254"/>
      <c r="G88" s="551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2" t="s">
        <v>194</v>
      </c>
      <c r="B90" s="552"/>
      <c r="C90" s="444">
        <f>SumByColor($A$19,C73:C88)</f>
        <v>0</v>
      </c>
      <c r="D90" s="444"/>
      <c r="E90" s="444"/>
      <c r="F90" s="445">
        <f>SumByColor($A$19,F73:F88)</f>
        <v>0</v>
      </c>
      <c r="G90" s="444"/>
      <c r="H90" s="444">
        <f>SumByColor($A$19,H73:H88)</f>
        <v>0</v>
      </c>
      <c r="I90" s="444"/>
      <c r="J90" s="444"/>
      <c r="K90" s="445">
        <f>SumByColor($A$19,K73:K88)</f>
        <v>0</v>
      </c>
      <c r="L90" s="444"/>
      <c r="M90" s="445">
        <f>SumByColor($A$19,M73:M88)</f>
        <v>0</v>
      </c>
    </row>
    <row r="95" spans="1:13" x14ac:dyDescent="0.25">
      <c r="B95" s="483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4">
        <v>42704</v>
      </c>
      <c r="C96" s="365">
        <v>40</v>
      </c>
      <c r="D96" s="366">
        <v>83.05</v>
      </c>
      <c r="E96" s="366">
        <v>82.85</v>
      </c>
      <c r="F96" s="366">
        <f>C96*(E96-D96)</f>
        <v>-8.0000000000001137</v>
      </c>
      <c r="G96" s="366">
        <f>D96*C96</f>
        <v>3322</v>
      </c>
      <c r="H96" s="367">
        <f>(E96-D96)/D96</f>
        <v>-2.4081878386514491E-3</v>
      </c>
      <c r="I96" s="366"/>
    </row>
    <row r="97" spans="1:10" x14ac:dyDescent="0.25">
      <c r="B97" s="624">
        <v>42708</v>
      </c>
      <c r="C97" s="365">
        <v>40</v>
      </c>
      <c r="D97" s="366">
        <v>83.05</v>
      </c>
      <c r="E97" s="366">
        <v>83.35</v>
      </c>
      <c r="F97" s="366">
        <f>C97*(E97-D97)</f>
        <v>11.999999999999886</v>
      </c>
      <c r="G97" s="366">
        <f>D97*C97</f>
        <v>3322</v>
      </c>
      <c r="H97" s="367">
        <f>(E97-D97)/D97</f>
        <v>3.612281757977088E-3</v>
      </c>
      <c r="I97" s="366"/>
    </row>
    <row r="98" spans="1:10" x14ac:dyDescent="0.25">
      <c r="B98" s="624">
        <v>42729</v>
      </c>
      <c r="C98" s="365">
        <v>40</v>
      </c>
      <c r="D98" s="366">
        <v>83.05</v>
      </c>
      <c r="E98" s="366">
        <v>93</v>
      </c>
      <c r="F98" s="366">
        <f>C98*(E98-D98)</f>
        <v>398.00000000000011</v>
      </c>
      <c r="G98" s="366">
        <f>D98*C98</f>
        <v>3322</v>
      </c>
      <c r="H98" s="367">
        <f>(E98-D98)/D98</f>
        <v>0.11980734497290793</v>
      </c>
      <c r="I98" s="366"/>
    </row>
    <row r="99" spans="1:10" x14ac:dyDescent="0.25">
      <c r="B99" s="624">
        <v>42739</v>
      </c>
      <c r="C99" s="365">
        <v>0</v>
      </c>
      <c r="D99" s="366"/>
      <c r="E99" s="366"/>
      <c r="F99" s="366">
        <v>537.91999999999996</v>
      </c>
      <c r="G99" s="366"/>
      <c r="H99" s="367"/>
      <c r="I99" s="366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4"/>
      <c r="C105" s="365"/>
      <c r="D105" s="366"/>
      <c r="E105" s="366"/>
      <c r="F105" s="366"/>
      <c r="G105" s="366"/>
      <c r="H105" s="367"/>
      <c r="I105" s="366"/>
    </row>
    <row r="106" spans="1:10" x14ac:dyDescent="0.25">
      <c r="B106" s="624"/>
      <c r="C106" s="365"/>
      <c r="D106" s="366"/>
      <c r="E106" s="366"/>
      <c r="F106" s="366"/>
      <c r="G106" s="366"/>
      <c r="H106" s="367"/>
      <c r="I106" s="366"/>
    </row>
    <row r="107" spans="1:10" x14ac:dyDescent="0.25">
      <c r="B107" s="624"/>
      <c r="C107" s="365"/>
      <c r="D107" s="366"/>
      <c r="E107" s="366"/>
      <c r="F107" s="366"/>
      <c r="G107" s="366"/>
      <c r="H107" s="367"/>
      <c r="I107" s="366"/>
    </row>
    <row r="108" spans="1:10" x14ac:dyDescent="0.25">
      <c r="B108" s="624"/>
      <c r="C108" s="365"/>
      <c r="D108" s="366"/>
      <c r="E108" s="366"/>
      <c r="F108" s="366"/>
      <c r="G108" s="366"/>
      <c r="H108" s="367"/>
      <c r="I108" s="366"/>
    </row>
    <row r="109" spans="1:10" x14ac:dyDescent="0.25">
      <c r="B109" s="624"/>
      <c r="C109" s="365"/>
      <c r="D109" s="366"/>
      <c r="E109" s="366"/>
      <c r="F109" s="366"/>
      <c r="G109" s="366"/>
      <c r="H109" s="367"/>
      <c r="I109" s="366"/>
    </row>
    <row r="110" spans="1:10" x14ac:dyDescent="0.25">
      <c r="B110" s="624"/>
      <c r="C110" s="365"/>
      <c r="D110" s="366"/>
      <c r="E110" s="366"/>
      <c r="F110" s="366"/>
      <c r="G110" s="366"/>
      <c r="H110" s="367"/>
      <c r="I110" s="366"/>
    </row>
    <row r="111" spans="1:10" x14ac:dyDescent="0.25">
      <c r="B111" s="624"/>
      <c r="C111" s="365"/>
      <c r="D111" s="366"/>
      <c r="E111" s="366"/>
      <c r="F111" s="366"/>
      <c r="G111" s="366"/>
      <c r="H111" s="367"/>
      <c r="I111" s="366"/>
    </row>
    <row r="112" spans="1:10" x14ac:dyDescent="0.25">
      <c r="B112" s="624"/>
      <c r="C112" s="365"/>
      <c r="D112" s="366"/>
      <c r="E112" s="366"/>
      <c r="F112" s="366"/>
      <c r="G112" s="366"/>
      <c r="H112" s="367"/>
      <c r="I112" s="366"/>
    </row>
    <row r="113" spans="2:9" x14ac:dyDescent="0.25">
      <c r="B113" s="624"/>
      <c r="C113" s="365"/>
      <c r="D113" s="366"/>
      <c r="E113" s="366"/>
      <c r="F113" s="366"/>
      <c r="G113" s="366"/>
      <c r="H113" s="367"/>
      <c r="I113" s="366"/>
    </row>
    <row r="114" spans="2:9" x14ac:dyDescent="0.25">
      <c r="B114" s="624"/>
      <c r="C114" s="365"/>
      <c r="D114" s="366"/>
      <c r="E114" s="366"/>
      <c r="F114" s="366"/>
      <c r="G114" s="366"/>
      <c r="H114" s="367"/>
      <c r="I114" s="366"/>
    </row>
    <row r="115" spans="2:9" x14ac:dyDescent="0.25">
      <c r="B115" s="624"/>
      <c r="C115" s="365"/>
      <c r="D115" s="366"/>
      <c r="E115" s="366"/>
      <c r="F115" s="366"/>
      <c r="G115" s="366"/>
      <c r="H115" s="367"/>
      <c r="I115" s="366"/>
    </row>
    <row r="116" spans="2:9" x14ac:dyDescent="0.25">
      <c r="B116" s="624"/>
      <c r="C116" s="365"/>
      <c r="D116" s="366"/>
      <c r="E116" s="366"/>
      <c r="F116" s="366"/>
      <c r="G116" s="366"/>
      <c r="H116" s="367"/>
      <c r="I116" s="366"/>
    </row>
    <row r="117" spans="2:9" x14ac:dyDescent="0.25">
      <c r="B117" s="624"/>
      <c r="C117" s="365"/>
      <c r="D117" s="366"/>
      <c r="E117" s="366"/>
      <c r="F117" s="366"/>
      <c r="G117" s="366"/>
      <c r="H117" s="367"/>
      <c r="I117" s="366"/>
    </row>
    <row r="118" spans="2:9" x14ac:dyDescent="0.25">
      <c r="B118" s="624"/>
      <c r="C118" s="365"/>
      <c r="D118" s="366"/>
      <c r="E118" s="366"/>
      <c r="F118" s="366"/>
      <c r="G118" s="366"/>
      <c r="H118" s="367"/>
      <c r="I118" s="446"/>
    </row>
    <row r="119" spans="2:9" x14ac:dyDescent="0.25">
      <c r="B119" s="624"/>
      <c r="C119" s="365"/>
      <c r="D119" s="366"/>
      <c r="E119" s="366"/>
      <c r="F119" s="366"/>
      <c r="G119" s="366"/>
      <c r="H119" s="367"/>
      <c r="I119" s="366"/>
    </row>
    <row r="120" spans="2:9" x14ac:dyDescent="0.25">
      <c r="B120" s="624"/>
      <c r="C120" s="365"/>
      <c r="D120" s="366"/>
      <c r="E120" s="366"/>
      <c r="F120" s="366"/>
      <c r="G120" s="366"/>
      <c r="H120" s="367"/>
      <c r="I120" s="366"/>
    </row>
    <row r="121" spans="2:9" x14ac:dyDescent="0.25">
      <c r="B121" s="624"/>
      <c r="C121" s="365"/>
      <c r="D121" s="366"/>
      <c r="E121" s="366"/>
      <c r="F121" s="366"/>
      <c r="G121" s="366"/>
      <c r="H121" s="367"/>
      <c r="I121" s="366"/>
    </row>
    <row r="122" spans="2:9" x14ac:dyDescent="0.25">
      <c r="B122" s="624"/>
      <c r="C122" s="365"/>
      <c r="D122" s="366"/>
      <c r="E122" s="366"/>
      <c r="F122" s="366"/>
      <c r="G122" s="366"/>
      <c r="H122" s="367"/>
      <c r="I122" s="366"/>
    </row>
    <row r="123" spans="2:9" x14ac:dyDescent="0.25">
      <c r="B123" s="624"/>
      <c r="C123" s="365"/>
      <c r="D123" s="366"/>
      <c r="E123" s="366"/>
      <c r="F123" s="366"/>
      <c r="G123" s="366"/>
      <c r="H123" s="367"/>
      <c r="I123" s="366"/>
    </row>
    <row r="124" spans="2:9" x14ac:dyDescent="0.25">
      <c r="B124" s="624"/>
      <c r="C124" s="365"/>
      <c r="D124" s="366"/>
      <c r="E124" s="366"/>
      <c r="F124" s="366"/>
      <c r="G124" s="366"/>
      <c r="H124" s="367"/>
      <c r="I124" s="366"/>
    </row>
    <row r="125" spans="2:9" x14ac:dyDescent="0.25">
      <c r="B125" s="624"/>
      <c r="C125" s="365"/>
      <c r="D125" s="366"/>
      <c r="E125" s="366"/>
      <c r="F125" s="366"/>
      <c r="G125" s="366"/>
      <c r="H125" s="367"/>
      <c r="I125" s="366"/>
    </row>
    <row r="126" spans="2:9" x14ac:dyDescent="0.25">
      <c r="B126" s="624"/>
      <c r="C126" s="365"/>
      <c r="D126" s="366"/>
      <c r="E126" s="366"/>
      <c r="F126" s="366"/>
      <c r="G126" s="366"/>
      <c r="H126" s="367"/>
      <c r="I126" s="366"/>
    </row>
    <row r="127" spans="2:9" x14ac:dyDescent="0.25">
      <c r="B127" s="624"/>
      <c r="C127" s="365"/>
      <c r="D127" s="366"/>
      <c r="E127" s="366"/>
      <c r="F127" s="366"/>
      <c r="G127" s="366"/>
      <c r="H127" s="367"/>
      <c r="I127" s="366"/>
    </row>
    <row r="128" spans="2:9" x14ac:dyDescent="0.25">
      <c r="B128" s="624"/>
      <c r="C128" s="365"/>
      <c r="D128" s="366"/>
      <c r="E128" s="366"/>
      <c r="F128" s="366"/>
      <c r="G128" s="366"/>
      <c r="H128" s="367"/>
      <c r="I128" s="366"/>
    </row>
    <row r="129" spans="2:9" x14ac:dyDescent="0.25">
      <c r="B129" s="624"/>
      <c r="C129" s="365"/>
      <c r="D129" s="366"/>
      <c r="E129" s="366"/>
      <c r="F129" s="366"/>
      <c r="G129" s="366"/>
      <c r="H129" s="367"/>
      <c r="I129" s="366"/>
    </row>
    <row r="130" spans="2:9" x14ac:dyDescent="0.25">
      <c r="B130" s="624"/>
      <c r="C130" s="365"/>
      <c r="D130" s="366"/>
      <c r="E130" s="366"/>
      <c r="F130" s="366"/>
      <c r="G130" s="366"/>
      <c r="H130" s="367"/>
      <c r="I130" s="366"/>
    </row>
    <row r="131" spans="2:9" x14ac:dyDescent="0.25">
      <c r="B131" s="624"/>
      <c r="C131" s="365"/>
      <c r="D131" s="366"/>
      <c r="E131" s="366"/>
      <c r="F131" s="366"/>
      <c r="G131" s="366"/>
      <c r="H131" s="367"/>
      <c r="I131" s="366"/>
    </row>
    <row r="132" spans="2:9" x14ac:dyDescent="0.25">
      <c r="B132" s="624"/>
      <c r="C132" s="365"/>
      <c r="D132" s="366"/>
      <c r="E132" s="366"/>
      <c r="F132" s="366"/>
      <c r="G132" s="366"/>
      <c r="H132" s="367"/>
      <c r="I132" s="366"/>
    </row>
    <row r="133" spans="2:9" x14ac:dyDescent="0.25">
      <c r="B133" s="624"/>
      <c r="C133" s="365"/>
      <c r="D133" s="366"/>
      <c r="E133" s="366"/>
      <c r="F133" s="366"/>
      <c r="G133" s="366"/>
      <c r="H133" s="367"/>
      <c r="I133" s="366"/>
    </row>
    <row r="134" spans="2:9" x14ac:dyDescent="0.25">
      <c r="B134" s="624"/>
      <c r="C134" s="365"/>
      <c r="D134" s="366"/>
      <c r="E134" s="366"/>
      <c r="F134" s="366"/>
      <c r="G134" s="366"/>
      <c r="H134" s="367"/>
      <c r="I134" s="366"/>
    </row>
    <row r="135" spans="2:9" x14ac:dyDescent="0.25">
      <c r="B135" s="624"/>
      <c r="C135" s="365"/>
      <c r="D135" s="366"/>
      <c r="E135" s="366"/>
      <c r="F135" s="366"/>
      <c r="G135" s="366"/>
      <c r="H135" s="367"/>
      <c r="I135" s="366"/>
    </row>
    <row r="136" spans="2:9" x14ac:dyDescent="0.25">
      <c r="B136" s="624"/>
      <c r="C136" s="365"/>
      <c r="D136" s="366"/>
      <c r="E136" s="366"/>
      <c r="F136" s="366"/>
      <c r="G136" s="366"/>
      <c r="H136" s="367"/>
      <c r="I136" s="366"/>
    </row>
    <row r="137" spans="2:9" x14ac:dyDescent="0.25">
      <c r="B137" s="624"/>
      <c r="C137" s="365"/>
      <c r="D137" s="366"/>
      <c r="E137" s="366"/>
      <c r="F137" s="366"/>
      <c r="G137" s="366"/>
      <c r="H137" s="367"/>
      <c r="I137" s="366"/>
    </row>
    <row r="138" spans="2:9" x14ac:dyDescent="0.25">
      <c r="B138" s="624"/>
      <c r="C138" s="365"/>
      <c r="D138" s="366"/>
      <c r="E138" s="366"/>
      <c r="F138" s="366"/>
      <c r="G138" s="366"/>
      <c r="H138" s="367"/>
      <c r="I138" s="366"/>
    </row>
    <row r="139" spans="2:9" x14ac:dyDescent="0.25">
      <c r="B139" s="624"/>
      <c r="C139" s="365"/>
      <c r="D139" s="366"/>
      <c r="E139" s="366"/>
      <c r="F139" s="366"/>
      <c r="G139" s="366"/>
      <c r="H139" s="367"/>
      <c r="I139" s="366"/>
    </row>
    <row r="140" spans="2:9" x14ac:dyDescent="0.25">
      <c r="B140" s="624"/>
      <c r="C140" s="365"/>
      <c r="D140" s="366"/>
      <c r="E140" s="366"/>
      <c r="F140" s="366"/>
      <c r="G140" s="366"/>
      <c r="H140" s="367"/>
      <c r="I140" s="36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29" priority="43">
      <formula>F33&gt;0</formula>
    </cfRule>
    <cfRule type="expression" dxfId="1428" priority="44">
      <formula>F33&lt;0</formula>
    </cfRule>
  </conditionalFormatting>
  <conditionalFormatting sqref="Q7">
    <cfRule type="expression" dxfId="1427" priority="41">
      <formula>Q7&gt;0</formula>
    </cfRule>
    <cfRule type="expression" dxfId="1426" priority="42">
      <formula>Q7&lt;0</formula>
    </cfRule>
  </conditionalFormatting>
  <conditionalFormatting sqref="Q8">
    <cfRule type="expression" dxfId="1425" priority="39">
      <formula>Q8&gt;0</formula>
    </cfRule>
    <cfRule type="expression" dxfId="1424" priority="40">
      <formula>Q8&lt;0</formula>
    </cfRule>
  </conditionalFormatting>
  <conditionalFormatting sqref="F29 F32">
    <cfRule type="expression" dxfId="1423" priority="37">
      <formula>F29&gt;0</formula>
    </cfRule>
    <cfRule type="expression" dxfId="1422" priority="38">
      <formula>F29&lt;0</formula>
    </cfRule>
  </conditionalFormatting>
  <conditionalFormatting sqref="H29 H32">
    <cfRule type="expression" dxfId="1421" priority="35">
      <formula>H29&gt;0</formula>
    </cfRule>
    <cfRule type="expression" dxfId="1420" priority="36">
      <formula>H29&lt;0</formula>
    </cfRule>
  </conditionalFormatting>
  <conditionalFormatting sqref="F30:F31">
    <cfRule type="expression" dxfId="1419" priority="33">
      <formula>F30&gt;0</formula>
    </cfRule>
    <cfRule type="expression" dxfId="1418" priority="34">
      <formula>F30&lt;0</formula>
    </cfRule>
  </conditionalFormatting>
  <conditionalFormatting sqref="H30:H31">
    <cfRule type="expression" dxfId="1417" priority="31">
      <formula>H30&gt;0</formula>
    </cfRule>
    <cfRule type="expression" dxfId="1416" priority="32">
      <formula>H30&lt;0</formula>
    </cfRule>
  </conditionalFormatting>
  <conditionalFormatting sqref="F105:F140 H105:H140">
    <cfRule type="expression" dxfId="1415" priority="29">
      <formula>F105&gt;0</formula>
    </cfRule>
    <cfRule type="expression" dxfId="1414" priority="30">
      <formula>F105&lt;0</formula>
    </cfRule>
  </conditionalFormatting>
  <conditionalFormatting sqref="F96:F99">
    <cfRule type="expression" dxfId="1413" priority="27">
      <formula>F96&gt;0</formula>
    </cfRule>
    <cfRule type="expression" dxfId="1412" priority="28">
      <formula>F96&lt;0</formula>
    </cfRule>
  </conditionalFormatting>
  <conditionalFormatting sqref="H96:H99">
    <cfRule type="expression" dxfId="1411" priority="25">
      <formula>H96&gt;0</formula>
    </cfRule>
    <cfRule type="expression" dxfId="1410" priority="26">
      <formula>H96&lt;0</formula>
    </cfRule>
  </conditionalFormatting>
  <conditionalFormatting sqref="F25:F28">
    <cfRule type="expression" dxfId="1409" priority="19">
      <formula>F25&gt;0</formula>
    </cfRule>
    <cfRule type="expression" dxfId="1408" priority="20">
      <formula>F25&lt;0</formula>
    </cfRule>
  </conditionalFormatting>
  <conditionalFormatting sqref="H25:H28">
    <cfRule type="expression" dxfId="1407" priority="17">
      <formula>H25&gt;0</formula>
    </cfRule>
    <cfRule type="expression" dxfId="1406" priority="18">
      <formula>H25&lt;0</formula>
    </cfRule>
  </conditionalFormatting>
  <conditionalFormatting sqref="J27">
    <cfRule type="expression" dxfId="1405" priority="15">
      <formula>J27&gt;0</formula>
    </cfRule>
    <cfRule type="expression" dxfId="1404" priority="16">
      <formula>J27&lt;0</formula>
    </cfRule>
  </conditionalFormatting>
  <conditionalFormatting sqref="F104">
    <cfRule type="expression" dxfId="1403" priority="13">
      <formula>F104&gt;0</formula>
    </cfRule>
    <cfRule type="expression" dxfId="1402" priority="14">
      <formula>F104&lt;0</formula>
    </cfRule>
  </conditionalFormatting>
  <conditionalFormatting sqref="H104">
    <cfRule type="expression" dxfId="1401" priority="11">
      <formula>H104&gt;0</formula>
    </cfRule>
    <cfRule type="expression" dxfId="1400" priority="12">
      <formula>H104&lt;0</formula>
    </cfRule>
  </conditionalFormatting>
  <conditionalFormatting sqref="F100:F103">
    <cfRule type="expression" dxfId="1399" priority="9">
      <formula>F100&gt;0</formula>
    </cfRule>
    <cfRule type="expression" dxfId="1398" priority="10">
      <formula>F100&lt;0</formula>
    </cfRule>
  </conditionalFormatting>
  <conditionalFormatting sqref="H100:H103">
    <cfRule type="expression" dxfId="1397" priority="7">
      <formula>H100&gt;0</formula>
    </cfRule>
    <cfRule type="expression" dxfId="1396" priority="8">
      <formula>H100&lt;0</formula>
    </cfRule>
  </conditionalFormatting>
  <conditionalFormatting sqref="J102">
    <cfRule type="expression" dxfId="1395" priority="5">
      <formula>J102&gt;0</formula>
    </cfRule>
    <cfRule type="expression" dxfId="1394" priority="6">
      <formula>J102&lt;0</formula>
    </cfRule>
  </conditionalFormatting>
  <conditionalFormatting sqref="Q10">
    <cfRule type="expression" dxfId="1393" priority="3">
      <formula>Q10&gt;0</formula>
    </cfRule>
    <cfRule type="expression" dxfId="1392" priority="4">
      <formula>Q10&lt;0</formula>
    </cfRule>
  </conditionalFormatting>
  <conditionalFormatting sqref="M71">
    <cfRule type="expression" dxfId="1391" priority="1">
      <formula>M71&gt;0</formula>
    </cfRule>
    <cfRule type="expression" dxfId="13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78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703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2" t="s">
        <v>194</v>
      </c>
      <c r="B65" s="443"/>
      <c r="C65" s="444">
        <f>SumByColor($A$19,C48:C63)</f>
        <v>0</v>
      </c>
      <c r="D65" s="444"/>
      <c r="E65" s="444"/>
      <c r="F65" s="445">
        <f>SumByColor($A$19,F48:F63)</f>
        <v>0</v>
      </c>
      <c r="G65" s="444"/>
      <c r="H65" s="444">
        <f>SumByColor($A$19,H48:H63)</f>
        <v>0</v>
      </c>
      <c r="I65" s="444"/>
      <c r="J65" s="444"/>
      <c r="K65" s="445">
        <f>SumByColor($A$19,K48:K63)</f>
        <v>0</v>
      </c>
      <c r="L65" s="444"/>
      <c r="M65" s="445">
        <f>SumByColor($A$19,M48:M63)</f>
        <v>0</v>
      </c>
    </row>
    <row r="69" spans="1:13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4"/>
      <c r="C73" s="365"/>
      <c r="D73" s="366"/>
      <c r="E73" s="366"/>
      <c r="F73" s="366"/>
      <c r="G73" s="366"/>
      <c r="H73" s="367"/>
      <c r="I73" s="366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4"/>
      <c r="C77" s="365"/>
      <c r="D77" s="366"/>
      <c r="E77" s="366"/>
      <c r="F77" s="366"/>
      <c r="G77" s="366"/>
      <c r="H77" s="367"/>
      <c r="I77" s="366"/>
    </row>
    <row r="78" spans="1:13" x14ac:dyDescent="0.25">
      <c r="B78" s="364"/>
      <c r="C78" s="365"/>
      <c r="D78" s="366"/>
      <c r="E78" s="366"/>
      <c r="F78" s="366"/>
      <c r="G78" s="366"/>
      <c r="H78" s="367"/>
      <c r="I78" s="446"/>
    </row>
    <row r="79" spans="1:13" x14ac:dyDescent="0.25">
      <c r="B79" s="364"/>
      <c r="C79" s="365"/>
      <c r="D79" s="366"/>
      <c r="E79" s="366"/>
      <c r="F79" s="366"/>
      <c r="G79" s="366"/>
      <c r="H79" s="367"/>
      <c r="I79" s="366"/>
    </row>
    <row r="80" spans="1:13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89" priority="33">
      <formula>F34&gt;0</formula>
    </cfRule>
    <cfRule type="expression" dxfId="1388" priority="34">
      <formula>F34&lt;0</formula>
    </cfRule>
  </conditionalFormatting>
  <conditionalFormatting sqref="Q7">
    <cfRule type="expression" dxfId="1387" priority="31">
      <formula>Q7&gt;0</formula>
    </cfRule>
    <cfRule type="expression" dxfId="1386" priority="32">
      <formula>Q7&lt;0</formula>
    </cfRule>
  </conditionalFormatting>
  <conditionalFormatting sqref="Q8">
    <cfRule type="expression" dxfId="1385" priority="29">
      <formula>Q8&gt;0</formula>
    </cfRule>
    <cfRule type="expression" dxfId="1384" priority="30">
      <formula>Q8&lt;0</formula>
    </cfRule>
  </conditionalFormatting>
  <conditionalFormatting sqref="F27:F33">
    <cfRule type="expression" dxfId="1383" priority="27">
      <formula>F27&gt;0</formula>
    </cfRule>
    <cfRule type="expression" dxfId="1382" priority="28">
      <formula>F27&lt;0</formula>
    </cfRule>
  </conditionalFormatting>
  <conditionalFormatting sqref="H27:H33">
    <cfRule type="expression" dxfId="1381" priority="25">
      <formula>H27&gt;0</formula>
    </cfRule>
    <cfRule type="expression" dxfId="1380" priority="26">
      <formula>H27&lt;0</formula>
    </cfRule>
  </conditionalFormatting>
  <conditionalFormatting sqref="M46">
    <cfRule type="expression" dxfId="1379" priority="23">
      <formula>M46&gt;0</formula>
    </cfRule>
    <cfRule type="expression" dxfId="1378" priority="24">
      <formula>M46&lt;0</formula>
    </cfRule>
  </conditionalFormatting>
  <conditionalFormatting sqref="F79:F87 H79:H87">
    <cfRule type="expression" dxfId="1377" priority="21">
      <formula>F79&gt;0</formula>
    </cfRule>
    <cfRule type="expression" dxfId="1376" priority="22">
      <formula>F79&lt;0</formula>
    </cfRule>
  </conditionalFormatting>
  <conditionalFormatting sqref="F73 F77:F78">
    <cfRule type="expression" dxfId="1375" priority="19">
      <formula>F73&gt;0</formula>
    </cfRule>
    <cfRule type="expression" dxfId="1374" priority="20">
      <formula>F73&lt;0</formula>
    </cfRule>
  </conditionalFormatting>
  <conditionalFormatting sqref="H73 H77:H78">
    <cfRule type="expression" dxfId="1373" priority="17">
      <formula>H73&gt;0</formula>
    </cfRule>
    <cfRule type="expression" dxfId="1372" priority="18">
      <formula>H73&lt;0</formula>
    </cfRule>
  </conditionalFormatting>
  <conditionalFormatting sqref="F70:F72">
    <cfRule type="expression" dxfId="1371" priority="15">
      <formula>F70&gt;0</formula>
    </cfRule>
    <cfRule type="expression" dxfId="1370" priority="16">
      <formula>F70&lt;0</formula>
    </cfRule>
  </conditionalFormatting>
  <conditionalFormatting sqref="H70:H72">
    <cfRule type="expression" dxfId="1369" priority="13">
      <formula>H70&gt;0</formula>
    </cfRule>
    <cfRule type="expression" dxfId="1368" priority="14">
      <formula>H70&lt;0</formula>
    </cfRule>
  </conditionalFormatting>
  <conditionalFormatting sqref="F25:F26">
    <cfRule type="expression" dxfId="1367" priority="11">
      <formula>F25&gt;0</formula>
    </cfRule>
    <cfRule type="expression" dxfId="1366" priority="12">
      <formula>F25&lt;0</formula>
    </cfRule>
  </conditionalFormatting>
  <conditionalFormatting sqref="H25:H26">
    <cfRule type="expression" dxfId="1365" priority="9">
      <formula>H25&gt;0</formula>
    </cfRule>
    <cfRule type="expression" dxfId="1364" priority="10">
      <formula>H25&lt;0</formula>
    </cfRule>
  </conditionalFormatting>
  <conditionalFormatting sqref="F76">
    <cfRule type="expression" dxfId="1363" priority="7">
      <formula>F76&gt;0</formula>
    </cfRule>
    <cfRule type="expression" dxfId="1362" priority="8">
      <formula>F76&lt;0</formula>
    </cfRule>
  </conditionalFormatting>
  <conditionalFormatting sqref="H76">
    <cfRule type="expression" dxfId="1361" priority="5">
      <formula>H76&gt;0</formula>
    </cfRule>
    <cfRule type="expression" dxfId="1360" priority="6">
      <formula>H76&lt;0</formula>
    </cfRule>
  </conditionalFormatting>
  <conditionalFormatting sqref="F74:F75">
    <cfRule type="expression" dxfId="1359" priority="3">
      <formula>F74&gt;0</formula>
    </cfRule>
    <cfRule type="expression" dxfId="1358" priority="4">
      <formula>F74&lt;0</formula>
    </cfRule>
  </conditionalFormatting>
  <conditionalFormatting sqref="H74:H75">
    <cfRule type="expression" dxfId="1357" priority="1">
      <formula>H74&gt;0</formula>
    </cfRule>
    <cfRule type="expression" dxfId="13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983</v>
      </c>
      <c r="B2" s="437">
        <v>43178</v>
      </c>
      <c r="C2" s="4">
        <v>25</v>
      </c>
      <c r="D2" s="3">
        <v>166.11</v>
      </c>
      <c r="E2" s="3">
        <v>0</v>
      </c>
      <c r="F2" s="3">
        <f t="shared" ref="F2:F5" si="0">C2*D2+E2</f>
        <v>4152.75</v>
      </c>
      <c r="G2" s="437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7" t="s">
        <v>1026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37">
        <v>43200</v>
      </c>
      <c r="H3" s="829">
        <v>25</v>
      </c>
      <c r="I3" s="830">
        <v>161</v>
      </c>
      <c r="J3" s="830">
        <v>0.09</v>
      </c>
      <c r="K3" s="830">
        <f>H3*I3-J3</f>
        <v>4024.91</v>
      </c>
      <c r="L3" s="4"/>
      <c r="M3" s="4"/>
      <c r="O3" s="11" t="s">
        <v>58</v>
      </c>
      <c r="Q3" s="224">
        <f>IF(Q2=0, Q4, (F18-K18-M18)/Q2)</f>
        <v>161.49620000000002</v>
      </c>
      <c r="T3" s="1"/>
    </row>
    <row r="4" spans="1:21" x14ac:dyDescent="0.25">
      <c r="B4" s="477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161.3699</v>
      </c>
      <c r="R4" s="498">
        <v>-5.1999999999999998E-3</v>
      </c>
      <c r="T4" s="779"/>
      <c r="U4" s="30"/>
    </row>
    <row r="5" spans="1:21" x14ac:dyDescent="0.25">
      <c r="B5" s="477">
        <v>43196</v>
      </c>
      <c r="C5" s="831">
        <v>25</v>
      </c>
      <c r="D5" s="830">
        <v>156.5</v>
      </c>
      <c r="E5" s="830">
        <v>0</v>
      </c>
      <c r="F5" s="830">
        <f t="shared" si="0"/>
        <v>3912.5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8068.4949999999999</v>
      </c>
    </row>
    <row r="6" spans="1:21" x14ac:dyDescent="0.25">
      <c r="L6" s="4"/>
      <c r="M6" s="4"/>
      <c r="O6" s="11" t="s">
        <v>64</v>
      </c>
      <c r="Q6" s="2">
        <f>Q3*Q2</f>
        <v>8074.81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-6.3150000000005093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-6.3150000000005093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-7.8206174510613978E-4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7.9320864671788231E-3</v>
      </c>
      <c r="R11">
        <v>0.32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v>19.68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16226.75</v>
      </c>
      <c r="G18" s="14"/>
      <c r="H18" s="71">
        <f>SUM(H2:H5)</f>
        <v>50</v>
      </c>
      <c r="I18" s="18"/>
      <c r="J18" s="18"/>
      <c r="K18" s="18">
        <f>SUM(K2:K5)</f>
        <v>8151.94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4087</v>
      </c>
      <c r="G19" s="346"/>
      <c r="H19" s="346">
        <f>SumByColor($A$19,H2:H17)</f>
        <v>25</v>
      </c>
      <c r="I19" s="346"/>
      <c r="J19" s="346"/>
      <c r="K19" s="347">
        <f>SumByColor($A$19,K2:K17)</f>
        <v>4127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177.50689000000003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175.893191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174.279492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172.66579300000001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171.05209400000001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169.43839500000001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167.82469600000002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166.21099699999999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164.59729799999999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162.983599</v>
      </c>
      <c r="Q32" s="2"/>
    </row>
    <row r="33" spans="2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" si="23">C33*(E33-D33)</f>
        <v>35.699999999999932</v>
      </c>
      <c r="G33" s="39">
        <f t="shared" ref="G33" si="24">D33*C33</f>
        <v>8074.8</v>
      </c>
      <c r="H33" s="225">
        <f t="shared" ref="H33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161.3699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159.756201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158.14250200000001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156.52880300000001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154.91510399999999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153.30140499999999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151.68770599999999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150.07400700000002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148.460308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146.846609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145.23291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5" priority="37">
      <formula>F47&gt;0</formula>
    </cfRule>
    <cfRule type="expression" dxfId="1354" priority="38">
      <formula>F47&lt;0</formula>
    </cfRule>
  </conditionalFormatting>
  <conditionalFormatting sqref="Q7">
    <cfRule type="expression" dxfId="1353" priority="35">
      <formula>Q7&gt;0</formula>
    </cfRule>
    <cfRule type="expression" dxfId="1352" priority="36">
      <formula>Q7&lt;0</formula>
    </cfRule>
  </conditionalFormatting>
  <conditionalFormatting sqref="Q8">
    <cfRule type="expression" dxfId="1351" priority="33">
      <formula>Q8&gt;0</formula>
    </cfRule>
    <cfRule type="expression" dxfId="1350" priority="34">
      <formula>Q8&lt;0</formula>
    </cfRule>
  </conditionalFormatting>
  <conditionalFormatting sqref="F31:F46">
    <cfRule type="expression" dxfId="1349" priority="31">
      <formula>F31&gt;0</formula>
    </cfRule>
    <cfRule type="expression" dxfId="1348" priority="32">
      <formula>F31&lt;0</formula>
    </cfRule>
  </conditionalFormatting>
  <conditionalFormatting sqref="H31:H46">
    <cfRule type="expression" dxfId="1347" priority="29">
      <formula>H31&gt;0</formula>
    </cfRule>
    <cfRule type="expression" dxfId="1346" priority="30">
      <formula>H31&lt;0</formula>
    </cfRule>
  </conditionalFormatting>
  <conditionalFormatting sqref="Q10">
    <cfRule type="expression" dxfId="1345" priority="27">
      <formula>Q10&gt;0</formula>
    </cfRule>
    <cfRule type="expression" dxfId="1344" priority="28">
      <formula>Q10&lt;0</formula>
    </cfRule>
  </conditionalFormatting>
  <conditionalFormatting sqref="J25:J38">
    <cfRule type="expression" dxfId="1343" priority="25">
      <formula>J25&gt;0</formula>
    </cfRule>
    <cfRule type="expression" dxfId="1342" priority="26">
      <formula>J25&lt;0</formula>
    </cfRule>
  </conditionalFormatting>
  <conditionalFormatting sqref="K25:K38">
    <cfRule type="expression" dxfId="1341" priority="23">
      <formula>K25&gt;0</formula>
    </cfRule>
    <cfRule type="expression" dxfId="1340" priority="24">
      <formula>K25&lt;0</formula>
    </cfRule>
  </conditionalFormatting>
  <conditionalFormatting sqref="L25:L38">
    <cfRule type="expression" dxfId="1339" priority="21">
      <formula>L25&gt;0</formula>
    </cfRule>
    <cfRule type="expression" dxfId="1338" priority="22">
      <formula>L25&lt;0</formula>
    </cfRule>
  </conditionalFormatting>
  <conditionalFormatting sqref="F89:F110">
    <cfRule type="expression" dxfId="1337" priority="19">
      <formula>F89&gt;0</formula>
    </cfRule>
    <cfRule type="expression" dxfId="1336" priority="20">
      <formula>F89&lt;0</formula>
    </cfRule>
  </conditionalFormatting>
  <conditionalFormatting sqref="H89:H110">
    <cfRule type="expression" dxfId="1335" priority="17">
      <formula>H89&gt;0</formula>
    </cfRule>
    <cfRule type="expression" dxfId="1334" priority="18">
      <formula>H89&lt;0</formula>
    </cfRule>
  </conditionalFormatting>
  <conditionalFormatting sqref="J89:J102">
    <cfRule type="expression" dxfId="1333" priority="15">
      <formula>J89&gt;0</formula>
    </cfRule>
    <cfRule type="expression" dxfId="1332" priority="16">
      <formula>J89&lt;0</formula>
    </cfRule>
  </conditionalFormatting>
  <conditionalFormatting sqref="K89:K102">
    <cfRule type="expression" dxfId="1331" priority="13">
      <formula>K89&gt;0</formula>
    </cfRule>
    <cfRule type="expression" dxfId="1330" priority="14">
      <formula>K89&lt;0</formula>
    </cfRule>
  </conditionalFormatting>
  <conditionalFormatting sqref="L89:L102">
    <cfRule type="expression" dxfId="1329" priority="11">
      <formula>L89&gt;0</formula>
    </cfRule>
    <cfRule type="expression" dxfId="1328" priority="12">
      <formula>L89&lt;0</formula>
    </cfRule>
  </conditionalFormatting>
  <conditionalFormatting sqref="F25:F28">
    <cfRule type="expression" dxfId="1327" priority="9">
      <formula>F25&gt;0</formula>
    </cfRule>
    <cfRule type="expression" dxfId="1326" priority="10">
      <formula>F25&lt;0</formula>
    </cfRule>
  </conditionalFormatting>
  <conditionalFormatting sqref="H25:H28">
    <cfRule type="expression" dxfId="1325" priority="7">
      <formula>H25&gt;0</formula>
    </cfRule>
    <cfRule type="expression" dxfId="1324" priority="8">
      <formula>H25&lt;0</formula>
    </cfRule>
  </conditionalFormatting>
  <conditionalFormatting sqref="F29:F30">
    <cfRule type="expression" dxfId="1323" priority="3">
      <formula>F29&gt;0</formula>
    </cfRule>
    <cfRule type="expression" dxfId="1322" priority="4">
      <formula>F29&lt;0</formula>
    </cfRule>
  </conditionalFormatting>
  <conditionalFormatting sqref="H29:H30">
    <cfRule type="expression" dxfId="1321" priority="1">
      <formula>H29&gt;0</formula>
    </cfRule>
    <cfRule type="expression" dxfId="132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749</v>
      </c>
      <c r="B2" s="437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7">
        <v>43040</v>
      </c>
      <c r="H2" s="7">
        <v>100</v>
      </c>
      <c r="I2" s="51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906</v>
      </c>
      <c r="V2" s="134"/>
    </row>
    <row r="3" spans="1:22" x14ac:dyDescent="0.25">
      <c r="A3" s="22" t="s">
        <v>71</v>
      </c>
      <c r="B3" s="437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7">
        <v>43052</v>
      </c>
      <c r="H3" s="80">
        <v>50</v>
      </c>
      <c r="I3" s="51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T3" s="1"/>
      <c r="U3" t="s">
        <v>907</v>
      </c>
      <c r="V3" s="134"/>
    </row>
    <row r="4" spans="1:22" x14ac:dyDescent="0.25">
      <c r="B4" s="437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7">
        <v>43069</v>
      </c>
      <c r="H4" s="80">
        <v>50</v>
      </c>
      <c r="I4" s="51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63.82</v>
      </c>
      <c r="R4" s="498">
        <v>-3.3999999999999998E-3</v>
      </c>
      <c r="T4" s="158"/>
      <c r="U4" s="1"/>
      <c r="V4" s="134"/>
    </row>
    <row r="5" spans="1:22" x14ac:dyDescent="0.25">
      <c r="B5" s="437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7">
        <v>43090</v>
      </c>
      <c r="H5" s="80">
        <v>100</v>
      </c>
      <c r="I5" s="51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12764</v>
      </c>
      <c r="T5" s="1">
        <v>43187</v>
      </c>
      <c r="U5" t="s">
        <v>1002</v>
      </c>
      <c r="V5" s="134"/>
    </row>
    <row r="6" spans="1:22" x14ac:dyDescent="0.25">
      <c r="B6" s="43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7">
        <v>43105</v>
      </c>
      <c r="H6" s="80">
        <v>50</v>
      </c>
      <c r="I6" s="51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3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7">
        <v>43166</v>
      </c>
      <c r="H7" s="80">
        <v>100</v>
      </c>
      <c r="I7" s="51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-1037.6500000000015</v>
      </c>
      <c r="R7">
        <v>200</v>
      </c>
      <c r="V7" s="134"/>
    </row>
    <row r="8" spans="1:22" x14ac:dyDescent="0.25">
      <c r="B8" s="43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58"/>
      <c r="J8" s="3"/>
      <c r="K8" s="3"/>
      <c r="L8" s="4"/>
      <c r="M8" s="4"/>
      <c r="O8" s="11" t="s">
        <v>180</v>
      </c>
      <c r="P8" s="33"/>
      <c r="Q8" s="2">
        <f>K18+M18-F18+Q2*Q4</f>
        <v>-1037.6500000000015</v>
      </c>
      <c r="V8" s="134"/>
    </row>
    <row r="9" spans="1:22" x14ac:dyDescent="0.25">
      <c r="B9" s="437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58"/>
      <c r="J9" s="3"/>
      <c r="K9" s="3"/>
      <c r="L9" s="4"/>
      <c r="M9" s="4"/>
      <c r="O9" s="11" t="s">
        <v>210</v>
      </c>
      <c r="Q9" s="134">
        <f>IF(Q2=0, 0, Q8/Q6)</f>
        <v>-7.5183039709020391E-2</v>
      </c>
      <c r="V9" s="134"/>
    </row>
    <row r="10" spans="1:22" x14ac:dyDescent="0.25">
      <c r="A10" t="s">
        <v>799</v>
      </c>
      <c r="B10" s="437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2.507051081165779E-2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968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997</v>
      </c>
      <c r="Q13">
        <f>Q4/(5.85+6.05)*2</f>
        <v>10.726050420168068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5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7" t="s">
        <v>78</v>
      </c>
      <c r="P21" s="847"/>
      <c r="V21" s="134"/>
    </row>
    <row r="22" spans="1:22" ht="15.75" thickTop="1" x14ac:dyDescent="0.25">
      <c r="O22" s="81">
        <v>1.1000000000000001</v>
      </c>
      <c r="P22" s="81">
        <f>O22*$Q$4</f>
        <v>70.202000000000012</v>
      </c>
      <c r="V22" s="134"/>
    </row>
    <row r="23" spans="1:22" x14ac:dyDescent="0.25">
      <c r="O23" s="81">
        <v>1.0900000000000001</v>
      </c>
      <c r="P23" s="81">
        <f t="shared" ref="P23:P42" si="2">O23*$Q$4</f>
        <v>69.563800000000001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997</v>
      </c>
      <c r="O24" s="81">
        <v>1.08</v>
      </c>
      <c r="P24" s="81">
        <f t="shared" si="2"/>
        <v>68.925600000000003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68.287400000000005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67.649200000000008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67.01100000000001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66.372799999999998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3"/>
      <c r="M29" s="733"/>
      <c r="O29" s="81">
        <v>1.03</v>
      </c>
      <c r="P29" s="81">
        <f t="shared" si="2"/>
        <v>65.7346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733">
        <v>15.91</v>
      </c>
      <c r="M30" s="733"/>
      <c r="O30" s="81">
        <v>1.02</v>
      </c>
      <c r="P30" s="81">
        <f t="shared" si="2"/>
        <v>65.096400000000003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3"/>
      <c r="M31" s="733"/>
      <c r="O31" s="81">
        <v>1.01</v>
      </c>
      <c r="P31" s="81">
        <f t="shared" si="2"/>
        <v>64.458200000000005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3"/>
      <c r="M32" s="733"/>
      <c r="O32" s="81">
        <v>1</v>
      </c>
      <c r="P32" s="81">
        <f t="shared" si="2"/>
        <v>63.82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779</v>
      </c>
      <c r="J33" s="39"/>
      <c r="K33" s="39"/>
      <c r="L33" s="733"/>
      <c r="M33" s="733"/>
      <c r="O33" s="81">
        <v>0.99</v>
      </c>
      <c r="P33" s="81">
        <f t="shared" si="2"/>
        <v>63.181800000000003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781</v>
      </c>
      <c r="J34" s="39"/>
      <c r="K34" s="39"/>
      <c r="L34" s="733"/>
      <c r="M34" s="733"/>
      <c r="O34" s="81">
        <v>0.98</v>
      </c>
      <c r="P34" s="81">
        <f t="shared" si="2"/>
        <v>62.543599999999998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3"/>
      <c r="M35" s="733"/>
      <c r="O35" s="81">
        <v>0.97</v>
      </c>
      <c r="P35" s="81">
        <f t="shared" si="2"/>
        <v>61.9054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786</v>
      </c>
      <c r="J36" s="39"/>
      <c r="K36" s="39"/>
      <c r="L36" s="733"/>
      <c r="M36" s="733"/>
      <c r="O36" s="81">
        <v>0.96</v>
      </c>
      <c r="P36" s="81">
        <f t="shared" si="2"/>
        <v>61.267199999999995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790</v>
      </c>
      <c r="J37" s="39"/>
      <c r="K37" s="39"/>
      <c r="L37" s="39"/>
      <c r="M37" s="39"/>
      <c r="O37" s="81">
        <v>0.95</v>
      </c>
      <c r="P37" s="81">
        <f t="shared" si="2"/>
        <v>60.628999999999998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797</v>
      </c>
      <c r="J38" s="39"/>
      <c r="K38" s="39"/>
      <c r="L38" s="39"/>
      <c r="M38" s="39"/>
      <c r="O38" s="81">
        <v>0.94</v>
      </c>
      <c r="P38" s="81">
        <f t="shared" si="2"/>
        <v>59.9908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863</v>
      </c>
      <c r="J39" s="39"/>
      <c r="K39" s="39"/>
      <c r="L39" s="39"/>
      <c r="M39" s="39"/>
      <c r="O39" s="81">
        <v>0.93</v>
      </c>
      <c r="P39" s="81">
        <f t="shared" si="2"/>
        <v>59.352600000000002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869</v>
      </c>
      <c r="J40" s="39"/>
      <c r="K40" s="39"/>
      <c r="L40" s="39"/>
      <c r="M40" s="39"/>
      <c r="O40" s="81">
        <v>0.92</v>
      </c>
      <c r="P40" s="81">
        <f t="shared" si="2"/>
        <v>58.714400000000005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58.0762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57.438000000000002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975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976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977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" si="39">C53*(E53-D53)</f>
        <v>-1107.5999999999995</v>
      </c>
      <c r="G53" s="39">
        <f t="shared" ref="G53" si="40">D53*C53</f>
        <v>13801.599999999999</v>
      </c>
      <c r="H53" s="225">
        <f t="shared" ref="H53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/>
      <c r="B54" s="187"/>
      <c r="C54" s="10"/>
      <c r="D54" s="39"/>
      <c r="E54" s="39"/>
      <c r="F54" s="39"/>
      <c r="G54" s="39"/>
      <c r="H54" s="225"/>
      <c r="I54" s="196"/>
      <c r="J54" s="39"/>
      <c r="K54" s="39"/>
      <c r="L54" s="39"/>
      <c r="M54" s="39"/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5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5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806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V67" s="134"/>
    </row>
    <row r="68" spans="1:22" x14ac:dyDescent="0.25">
      <c r="A68" s="516" t="s">
        <v>748</v>
      </c>
      <c r="B68" s="499"/>
      <c r="C68" s="500"/>
      <c r="D68" s="502"/>
      <c r="E68" s="502"/>
      <c r="F68" s="502"/>
      <c r="G68" s="499"/>
      <c r="H68" s="517"/>
      <c r="I68" s="807"/>
      <c r="J68" s="502"/>
      <c r="K68" s="502"/>
      <c r="L68" s="499"/>
      <c r="M68" s="502"/>
      <c r="V68" s="134"/>
    </row>
    <row r="69" spans="1:22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807"/>
      <c r="J69" s="502"/>
      <c r="K69" s="502"/>
      <c r="L69" s="500"/>
      <c r="M69" s="500"/>
      <c r="V69" s="134"/>
    </row>
    <row r="70" spans="1:22" x14ac:dyDescent="0.25">
      <c r="A70" s="500"/>
      <c r="B70" s="499"/>
      <c r="C70" s="500"/>
      <c r="D70" s="502"/>
      <c r="E70" s="502"/>
      <c r="F70" s="502"/>
      <c r="G70" s="499"/>
      <c r="H70" s="517"/>
      <c r="I70" s="807"/>
      <c r="J70" s="502"/>
      <c r="K70" s="502"/>
      <c r="L70" s="500"/>
      <c r="M70" s="500"/>
    </row>
    <row r="71" spans="1:22" x14ac:dyDescent="0.25">
      <c r="A71" s="500"/>
      <c r="B71" s="499"/>
      <c r="C71" s="500"/>
      <c r="D71" s="502"/>
      <c r="E71" s="502"/>
      <c r="F71" s="502"/>
      <c r="G71" s="500"/>
      <c r="H71" s="517"/>
      <c r="I71" s="807"/>
      <c r="J71" s="502"/>
      <c r="K71" s="502"/>
      <c r="L71" s="500"/>
      <c r="M71" s="500"/>
    </row>
    <row r="72" spans="1:22" x14ac:dyDescent="0.25">
      <c r="A72" s="500"/>
      <c r="B72" s="499"/>
      <c r="C72" s="500"/>
      <c r="D72" s="502"/>
      <c r="E72" s="502"/>
      <c r="F72" s="502"/>
      <c r="G72" s="500"/>
      <c r="H72" s="517"/>
      <c r="I72" s="807"/>
      <c r="J72" s="502"/>
      <c r="K72" s="502"/>
      <c r="L72" s="500"/>
      <c r="M72" s="500"/>
    </row>
    <row r="73" spans="1:22" x14ac:dyDescent="0.25">
      <c r="A73" s="500"/>
      <c r="B73" s="500"/>
      <c r="C73" s="500"/>
      <c r="D73" s="502"/>
      <c r="E73" s="502"/>
      <c r="F73" s="502"/>
      <c r="G73" s="500"/>
      <c r="H73" s="517"/>
      <c r="I73" s="807"/>
      <c r="J73" s="502"/>
      <c r="K73" s="502"/>
      <c r="L73" s="500"/>
      <c r="M73" s="500"/>
    </row>
    <row r="74" spans="1:22" x14ac:dyDescent="0.25">
      <c r="A74" s="500"/>
      <c r="B74" s="500"/>
      <c r="C74" s="500"/>
      <c r="D74" s="502"/>
      <c r="E74" s="502"/>
      <c r="F74" s="502"/>
      <c r="G74" s="500"/>
      <c r="H74" s="517"/>
      <c r="I74" s="807"/>
      <c r="J74" s="502"/>
      <c r="K74" s="502"/>
      <c r="L74" s="500"/>
      <c r="M74" s="500"/>
    </row>
    <row r="75" spans="1:22" x14ac:dyDescent="0.25">
      <c r="A75" s="500"/>
      <c r="B75" s="500"/>
      <c r="C75" s="500"/>
      <c r="D75" s="502"/>
      <c r="E75" s="502"/>
      <c r="F75" s="502"/>
      <c r="G75" s="500"/>
      <c r="H75" s="517"/>
      <c r="I75" s="807"/>
      <c r="J75" s="502"/>
      <c r="K75" s="502"/>
      <c r="L75" s="500"/>
      <c r="M75" s="500"/>
    </row>
    <row r="76" spans="1:22" x14ac:dyDescent="0.25">
      <c r="A76" s="500"/>
      <c r="B76" s="500"/>
      <c r="C76" s="500"/>
      <c r="D76" s="502"/>
      <c r="E76" s="502"/>
      <c r="F76" s="502"/>
      <c r="G76" s="500"/>
      <c r="H76" s="517"/>
      <c r="I76" s="807"/>
      <c r="J76" s="502"/>
      <c r="K76" s="502"/>
      <c r="L76" s="500"/>
      <c r="M76" s="500"/>
    </row>
    <row r="77" spans="1:22" x14ac:dyDescent="0.25">
      <c r="A77" s="500"/>
      <c r="B77" s="500"/>
      <c r="C77" s="500"/>
      <c r="D77" s="502"/>
      <c r="E77" s="502"/>
      <c r="F77" s="502"/>
      <c r="G77" s="500"/>
      <c r="H77" s="517"/>
      <c r="I77" s="807"/>
      <c r="J77" s="502"/>
      <c r="K77" s="502"/>
      <c r="L77" s="500"/>
      <c r="M77" s="500"/>
    </row>
    <row r="78" spans="1:22" x14ac:dyDescent="0.25">
      <c r="A78" s="500"/>
      <c r="B78" s="500"/>
      <c r="C78" s="500"/>
      <c r="D78" s="502"/>
      <c r="E78" s="502"/>
      <c r="F78" s="502"/>
      <c r="G78" s="500"/>
      <c r="H78" s="517"/>
      <c r="I78" s="807"/>
      <c r="J78" s="502"/>
      <c r="K78" s="502"/>
      <c r="L78" s="500"/>
      <c r="M78" s="500"/>
    </row>
    <row r="79" spans="1:22" x14ac:dyDescent="0.25">
      <c r="A79" s="500"/>
      <c r="B79" s="500"/>
      <c r="C79" s="500"/>
      <c r="D79" s="502"/>
      <c r="E79" s="502"/>
      <c r="F79" s="502"/>
      <c r="G79" s="500"/>
      <c r="H79" s="517"/>
      <c r="I79" s="807"/>
      <c r="J79" s="502"/>
      <c r="K79" s="502"/>
      <c r="L79" s="500"/>
      <c r="M79" s="500"/>
    </row>
    <row r="80" spans="1:22" x14ac:dyDescent="0.25">
      <c r="A80" s="500"/>
      <c r="B80" s="500"/>
      <c r="C80" s="500"/>
      <c r="D80" s="502"/>
      <c r="E80" s="502"/>
      <c r="F80" s="502"/>
      <c r="G80" s="500"/>
      <c r="H80" s="517"/>
      <c r="I80" s="807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807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807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807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808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809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319" priority="23">
      <formula>F62&gt;0</formula>
    </cfRule>
    <cfRule type="expression" dxfId="1318" priority="24">
      <formula>F62&lt;0</formula>
    </cfRule>
  </conditionalFormatting>
  <conditionalFormatting sqref="Q7">
    <cfRule type="expression" dxfId="1317" priority="21">
      <formula>Q7&gt;0</formula>
    </cfRule>
    <cfRule type="expression" dxfId="1316" priority="22">
      <formula>Q7&lt;0</formula>
    </cfRule>
  </conditionalFormatting>
  <conditionalFormatting sqref="Q8">
    <cfRule type="expression" dxfId="1315" priority="19">
      <formula>Q8&gt;0</formula>
    </cfRule>
    <cfRule type="expression" dxfId="1314" priority="20">
      <formula>Q8&lt;0</formula>
    </cfRule>
  </conditionalFormatting>
  <conditionalFormatting sqref="F25:F61">
    <cfRule type="expression" dxfId="1313" priority="17">
      <formula>F25&gt;0</formula>
    </cfRule>
    <cfRule type="expression" dxfId="1312" priority="18">
      <formula>F25&lt;0</formula>
    </cfRule>
  </conditionalFormatting>
  <conditionalFormatting sqref="H25:H61">
    <cfRule type="expression" dxfId="1311" priority="15">
      <formula>H25&gt;0</formula>
    </cfRule>
    <cfRule type="expression" dxfId="1310" priority="16">
      <formula>H25&lt;0</formula>
    </cfRule>
  </conditionalFormatting>
  <conditionalFormatting sqref="F89:F110">
    <cfRule type="expression" dxfId="1309" priority="13">
      <formula>F89&gt;0</formula>
    </cfRule>
    <cfRule type="expression" dxfId="1308" priority="14">
      <formula>F89&lt;0</formula>
    </cfRule>
  </conditionalFormatting>
  <conditionalFormatting sqref="H89:H110">
    <cfRule type="expression" dxfId="1307" priority="11">
      <formula>H89&gt;0</formula>
    </cfRule>
    <cfRule type="expression" dxfId="1306" priority="12">
      <formula>H89&lt;0</formula>
    </cfRule>
  </conditionalFormatting>
  <conditionalFormatting sqref="Q10">
    <cfRule type="expression" dxfId="1305" priority="9">
      <formula>Q10&gt;0</formula>
    </cfRule>
    <cfRule type="expression" dxfId="1304" priority="10">
      <formula>Q10&lt;0</formula>
    </cfRule>
  </conditionalFormatting>
  <conditionalFormatting sqref="J25:J38">
    <cfRule type="expression" dxfId="1303" priority="7">
      <formula>J25&gt;0</formula>
    </cfRule>
    <cfRule type="expression" dxfId="1302" priority="8">
      <formula>J25&lt;0</formula>
    </cfRule>
  </conditionalFormatting>
  <conditionalFormatting sqref="K25:K38">
    <cfRule type="expression" dxfId="1301" priority="5">
      <formula>K25&gt;0</formula>
    </cfRule>
    <cfRule type="expression" dxfId="1300" priority="6">
      <formula>K25&lt;0</formula>
    </cfRule>
  </conditionalFormatting>
  <conditionalFormatting sqref="L25:L38">
    <cfRule type="expression" dxfId="1299" priority="3">
      <formula>L25&gt;0</formula>
    </cfRule>
    <cfRule type="expression" dxfId="1298" priority="4">
      <formula>L25&lt;0</formula>
    </cfRule>
  </conditionalFormatting>
  <conditionalFormatting sqref="M25:M38">
    <cfRule type="expression" dxfId="1297" priority="1">
      <formula>M25&gt;0</formula>
    </cfRule>
    <cfRule type="expression" dxfId="1296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498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748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8</v>
      </c>
      <c r="D84" s="521"/>
      <c r="E84" s="521"/>
      <c r="F84" s="521">
        <f>SUM(F68:F72)</f>
        <v>4304</v>
      </c>
      <c r="G84" s="520"/>
      <c r="H84" s="542">
        <f>SUM(H68:H71)</f>
        <v>8</v>
      </c>
      <c r="I84" s="521"/>
      <c r="J84" s="521"/>
      <c r="K84" s="521">
        <f>SUM(K68:K71)</f>
        <v>4863.8900000000003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5" priority="21">
      <formula>F47&gt;0</formula>
    </cfRule>
    <cfRule type="expression" dxfId="1294" priority="22">
      <formula>F47&lt;0</formula>
    </cfRule>
  </conditionalFormatting>
  <conditionalFormatting sqref="Q7">
    <cfRule type="expression" dxfId="1293" priority="19">
      <formula>Q7&gt;0</formula>
    </cfRule>
    <cfRule type="expression" dxfId="1292" priority="20">
      <formula>Q7&lt;0</formula>
    </cfRule>
  </conditionalFormatting>
  <conditionalFormatting sqref="Q8">
    <cfRule type="expression" dxfId="1291" priority="17">
      <formula>Q8&gt;0</formula>
    </cfRule>
    <cfRule type="expression" dxfId="1290" priority="18">
      <formula>Q8&lt;0</formula>
    </cfRule>
  </conditionalFormatting>
  <conditionalFormatting sqref="F25:F46">
    <cfRule type="expression" dxfId="1289" priority="15">
      <formula>F25&gt;0</formula>
    </cfRule>
    <cfRule type="expression" dxfId="1288" priority="16">
      <formula>F25&lt;0</formula>
    </cfRule>
  </conditionalFormatting>
  <conditionalFormatting sqref="H25:H46">
    <cfRule type="expression" dxfId="1287" priority="13">
      <formula>H25&gt;0</formula>
    </cfRule>
    <cfRule type="expression" dxfId="1286" priority="14">
      <formula>H25&lt;0</formula>
    </cfRule>
  </conditionalFormatting>
  <conditionalFormatting sqref="F89:F110">
    <cfRule type="expression" dxfId="1285" priority="11">
      <formula>F89&gt;0</formula>
    </cfRule>
    <cfRule type="expression" dxfId="1284" priority="12">
      <formula>F89&lt;0</formula>
    </cfRule>
  </conditionalFormatting>
  <conditionalFormatting sqref="H89:H110">
    <cfRule type="expression" dxfId="1283" priority="9">
      <formula>H89&gt;0</formula>
    </cfRule>
    <cfRule type="expression" dxfId="1282" priority="10">
      <formula>H89&lt;0</formula>
    </cfRule>
  </conditionalFormatting>
  <conditionalFormatting sqref="Q10">
    <cfRule type="expression" dxfId="1281" priority="7">
      <formula>Q10&gt;0</formula>
    </cfRule>
    <cfRule type="expression" dxfId="1280" priority="8">
      <formula>Q10&lt;0</formula>
    </cfRule>
  </conditionalFormatting>
  <conditionalFormatting sqref="J25:J38">
    <cfRule type="expression" dxfId="1279" priority="5">
      <formula>J25&gt;0</formula>
    </cfRule>
    <cfRule type="expression" dxfId="1278" priority="6">
      <formula>J25&lt;0</formula>
    </cfRule>
  </conditionalFormatting>
  <conditionalFormatting sqref="K25:K38">
    <cfRule type="expression" dxfId="1277" priority="3">
      <formula>K25&gt;0</formula>
    </cfRule>
    <cfRule type="expression" dxfId="1276" priority="4">
      <formula>K25&lt;0</formula>
    </cfRule>
  </conditionalFormatting>
  <conditionalFormatting sqref="L25:L38">
    <cfRule type="expression" dxfId="1275" priority="1">
      <formula>L25&gt;0</formula>
    </cfRule>
    <cfRule type="expression" dxfId="127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1014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45.2</v>
      </c>
      <c r="R4" s="498">
        <v>-1.5900000000000001E-2</v>
      </c>
      <c r="T4" s="779"/>
      <c r="U4" s="30" t="s">
        <v>1015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9040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1284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1284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0.16554925219185146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3.053097345132743E-2</v>
      </c>
      <c r="R11">
        <f>0.345</f>
        <v>0.34499999999999997</v>
      </c>
    </row>
    <row r="12" spans="1:21" x14ac:dyDescent="0.25">
      <c r="H12" s="70"/>
      <c r="O12" s="11" t="s">
        <v>968</v>
      </c>
    </row>
    <row r="13" spans="1:21" x14ac:dyDescent="0.25">
      <c r="H13" s="70"/>
      <c r="O13" s="11" t="s">
        <v>997</v>
      </c>
      <c r="Q13">
        <f>Q4/4.4</f>
        <v>10.272727272727273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997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5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49.720000000000006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49.268000000000008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48.81600000000001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48.364000000000004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47.912000000000006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47.460000000000008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47.008000000000003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46.556000000000004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46.104000000000006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45.652000000000001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45.2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44.748000000000005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44.295999999999999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43.844000000000001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43.392000000000003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42.94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42.488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42.036000000000001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41.584000000000003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41.132000000000005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40.680000000000007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3" priority="35">
      <formula>F47&gt;0</formula>
    </cfRule>
    <cfRule type="expression" dxfId="1272" priority="36">
      <formula>F47&lt;0</formula>
    </cfRule>
  </conditionalFormatting>
  <conditionalFormatting sqref="Q7">
    <cfRule type="expression" dxfId="1271" priority="33">
      <formula>Q7&gt;0</formula>
    </cfRule>
    <cfRule type="expression" dxfId="1270" priority="34">
      <formula>Q7&lt;0</formula>
    </cfRule>
  </conditionalFormatting>
  <conditionalFormatting sqref="Q8">
    <cfRule type="expression" dxfId="1269" priority="31">
      <formula>Q8&gt;0</formula>
    </cfRule>
    <cfRule type="expression" dxfId="1268" priority="32">
      <formula>Q8&lt;0</formula>
    </cfRule>
  </conditionalFormatting>
  <conditionalFormatting sqref="F30:F46">
    <cfRule type="expression" dxfId="1267" priority="29">
      <formula>F30&gt;0</formula>
    </cfRule>
    <cfRule type="expression" dxfId="1266" priority="30">
      <formula>F30&lt;0</formula>
    </cfRule>
  </conditionalFormatting>
  <conditionalFormatting sqref="H30:H46">
    <cfRule type="expression" dxfId="1265" priority="27">
      <formula>H30&gt;0</formula>
    </cfRule>
    <cfRule type="expression" dxfId="1264" priority="28">
      <formula>H30&lt;0</formula>
    </cfRule>
  </conditionalFormatting>
  <conditionalFormatting sqref="Q10">
    <cfRule type="expression" dxfId="1263" priority="25">
      <formula>Q10&gt;0</formula>
    </cfRule>
    <cfRule type="expression" dxfId="1262" priority="26">
      <formula>Q10&lt;0</formula>
    </cfRule>
  </conditionalFormatting>
  <conditionalFormatting sqref="J25:J38">
    <cfRule type="expression" dxfId="1261" priority="23">
      <formula>J25&gt;0</formula>
    </cfRule>
    <cfRule type="expression" dxfId="1260" priority="24">
      <formula>J25&lt;0</formula>
    </cfRule>
  </conditionalFormatting>
  <conditionalFormatting sqref="K25:K38">
    <cfRule type="expression" dxfId="1259" priority="21">
      <formula>K25&gt;0</formula>
    </cfRule>
    <cfRule type="expression" dxfId="1258" priority="22">
      <formula>K25&lt;0</formula>
    </cfRule>
  </conditionalFormatting>
  <conditionalFormatting sqref="L25">
    <cfRule type="expression" dxfId="1257" priority="19">
      <formula>L25&gt;0</formula>
    </cfRule>
    <cfRule type="expression" dxfId="1256" priority="20">
      <formula>L25&lt;0</formula>
    </cfRule>
  </conditionalFormatting>
  <conditionalFormatting sqref="F89:F110">
    <cfRule type="expression" dxfId="1255" priority="17">
      <formula>F89&gt;0</formula>
    </cfRule>
    <cfRule type="expression" dxfId="1254" priority="18">
      <formula>F89&lt;0</formula>
    </cfRule>
  </conditionalFormatting>
  <conditionalFormatting sqref="H89:H110">
    <cfRule type="expression" dxfId="1253" priority="15">
      <formula>H89&gt;0</formula>
    </cfRule>
    <cfRule type="expression" dxfId="1252" priority="16">
      <formula>H89&lt;0</formula>
    </cfRule>
  </conditionalFormatting>
  <conditionalFormatting sqref="J89:J102">
    <cfRule type="expression" dxfId="1251" priority="13">
      <formula>J89&gt;0</formula>
    </cfRule>
    <cfRule type="expression" dxfId="1250" priority="14">
      <formula>J89&lt;0</formula>
    </cfRule>
  </conditionalFormatting>
  <conditionalFormatting sqref="K89:K102">
    <cfRule type="expression" dxfId="1249" priority="11">
      <formula>K89&gt;0</formula>
    </cfRule>
    <cfRule type="expression" dxfId="1248" priority="12">
      <formula>K89&lt;0</formula>
    </cfRule>
  </conditionalFormatting>
  <conditionalFormatting sqref="L89:L102">
    <cfRule type="expression" dxfId="1247" priority="9">
      <formula>L89&gt;0</formula>
    </cfRule>
    <cfRule type="expression" dxfId="1246" priority="10">
      <formula>L89&lt;0</formula>
    </cfRule>
  </conditionalFormatting>
  <conditionalFormatting sqref="F29">
    <cfRule type="expression" dxfId="1245" priority="7">
      <formula>F29&gt;0</formula>
    </cfRule>
    <cfRule type="expression" dxfId="1244" priority="8">
      <formula>F29&lt;0</formula>
    </cfRule>
  </conditionalFormatting>
  <conditionalFormatting sqref="H29">
    <cfRule type="expression" dxfId="1243" priority="5">
      <formula>H29&gt;0</formula>
    </cfRule>
    <cfRule type="expression" dxfId="1242" priority="6">
      <formula>H29&lt;0</formula>
    </cfRule>
  </conditionalFormatting>
  <conditionalFormatting sqref="F25:F28">
    <cfRule type="expression" dxfId="1241" priority="3">
      <formula>F25&gt;0</formula>
    </cfRule>
    <cfRule type="expression" dxfId="1240" priority="4">
      <formula>F25&lt;0</formula>
    </cfRule>
  </conditionalFormatting>
  <conditionalFormatting sqref="H25:H28">
    <cfRule type="expression" dxfId="1239" priority="1">
      <formula>H25&gt;0</formula>
    </cfRule>
    <cfRule type="expression" dxfId="12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196.1199</v>
      </c>
      <c r="R4" s="498">
        <v>-3.1099999999999999E-2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3922.3980000000001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-37.601999999999862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-37.601999999999862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-9.4954545454545101E-3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8.9741020671538184E-3</v>
      </c>
      <c r="R11">
        <v>1.76</v>
      </c>
    </row>
    <row r="12" spans="1:21" x14ac:dyDescent="0.25">
      <c r="H12" s="70"/>
      <c r="O12" s="11" t="s">
        <v>1021</v>
      </c>
      <c r="Q12" s="29" t="s">
        <v>1024</v>
      </c>
    </row>
    <row r="13" spans="1:21" x14ac:dyDescent="0.25">
      <c r="H13" s="70"/>
      <c r="O13" s="11" t="s">
        <v>997</v>
      </c>
      <c r="Q13">
        <f>Q4/8.62</f>
        <v>22.751728538283064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215.73189000000002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213.77069100000003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211.80949200000001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209.84829300000001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207.88709400000002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205.925895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203.964696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202.00349700000001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200.04229800000002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198.08109899999999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196.1199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194.15870100000001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192.19750199999999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190.23630299999999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188.275104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186.31390500000001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184.35270599999998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182.39150700000002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180.430308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178.469109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176.50791000000001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7" priority="31">
      <formula>F47&gt;0</formula>
    </cfRule>
    <cfRule type="expression" dxfId="1236" priority="32">
      <formula>F47&lt;0</formula>
    </cfRule>
  </conditionalFormatting>
  <conditionalFormatting sqref="Q7">
    <cfRule type="expression" dxfId="1235" priority="29">
      <formula>Q7&gt;0</formula>
    </cfRule>
    <cfRule type="expression" dxfId="1234" priority="30">
      <formula>Q7&lt;0</formula>
    </cfRule>
  </conditionalFormatting>
  <conditionalFormatting sqref="Q8">
    <cfRule type="expression" dxfId="1233" priority="27">
      <formula>Q8&gt;0</formula>
    </cfRule>
    <cfRule type="expression" dxfId="1232" priority="28">
      <formula>Q8&lt;0</formula>
    </cfRule>
  </conditionalFormatting>
  <conditionalFormatting sqref="F30:F46">
    <cfRule type="expression" dxfId="1231" priority="25">
      <formula>F30&gt;0</formula>
    </cfRule>
    <cfRule type="expression" dxfId="1230" priority="26">
      <formula>F30&lt;0</formula>
    </cfRule>
  </conditionalFormatting>
  <conditionalFormatting sqref="H30:H46">
    <cfRule type="expression" dxfId="1229" priority="23">
      <formula>H30&gt;0</formula>
    </cfRule>
    <cfRule type="expression" dxfId="1228" priority="24">
      <formula>H30&lt;0</formula>
    </cfRule>
  </conditionalFormatting>
  <conditionalFormatting sqref="Q10">
    <cfRule type="expression" dxfId="1227" priority="21">
      <formula>Q10&gt;0</formula>
    </cfRule>
    <cfRule type="expression" dxfId="1226" priority="22">
      <formula>Q10&lt;0</formula>
    </cfRule>
  </conditionalFormatting>
  <conditionalFormatting sqref="J25:J38">
    <cfRule type="expression" dxfId="1225" priority="19">
      <formula>J25&gt;0</formula>
    </cfRule>
    <cfRule type="expression" dxfId="1224" priority="20">
      <formula>J25&lt;0</formula>
    </cfRule>
  </conditionalFormatting>
  <conditionalFormatting sqref="K25:K38">
    <cfRule type="expression" dxfId="1223" priority="17">
      <formula>K25&gt;0</formula>
    </cfRule>
    <cfRule type="expression" dxfId="1222" priority="18">
      <formula>K25&lt;0</formula>
    </cfRule>
  </conditionalFormatting>
  <conditionalFormatting sqref="L25:L38">
    <cfRule type="expression" dxfId="1221" priority="15">
      <formula>L25&gt;0</formula>
    </cfRule>
    <cfRule type="expression" dxfId="1220" priority="16">
      <formula>L25&lt;0</formula>
    </cfRule>
  </conditionalFormatting>
  <conditionalFormatting sqref="F89:F110">
    <cfRule type="expression" dxfId="1219" priority="13">
      <formula>F89&gt;0</formula>
    </cfRule>
    <cfRule type="expression" dxfId="1218" priority="14">
      <formula>F89&lt;0</formula>
    </cfRule>
  </conditionalFormatting>
  <conditionalFormatting sqref="H89:H110">
    <cfRule type="expression" dxfId="1217" priority="11">
      <formula>H89&gt;0</formula>
    </cfRule>
    <cfRule type="expression" dxfId="1216" priority="12">
      <formula>H89&lt;0</formula>
    </cfRule>
  </conditionalFormatting>
  <conditionalFormatting sqref="J89:J102">
    <cfRule type="expression" dxfId="1215" priority="9">
      <formula>J89&gt;0</formula>
    </cfRule>
    <cfRule type="expression" dxfId="1214" priority="10">
      <formula>J89&lt;0</formula>
    </cfRule>
  </conditionalFormatting>
  <conditionalFormatting sqref="K89:K102">
    <cfRule type="expression" dxfId="1213" priority="7">
      <formula>K89&gt;0</formula>
    </cfRule>
    <cfRule type="expression" dxfId="1212" priority="8">
      <formula>K89&lt;0</formula>
    </cfRule>
  </conditionalFormatting>
  <conditionalFormatting sqref="L89:L102">
    <cfRule type="expression" dxfId="1211" priority="5">
      <formula>L89&gt;0</formula>
    </cfRule>
    <cfRule type="expression" dxfId="1210" priority="6">
      <formula>L89&lt;0</formula>
    </cfRule>
  </conditionalFormatting>
  <conditionalFormatting sqref="F25:F29">
    <cfRule type="expression" dxfId="1209" priority="3">
      <formula>F25&gt;0</formula>
    </cfRule>
    <cfRule type="expression" dxfId="1208" priority="4">
      <formula>F25&lt;0</formula>
    </cfRule>
  </conditionalFormatting>
  <conditionalFormatting sqref="H25:H29">
    <cfRule type="expression" dxfId="1207" priority="1">
      <formula>H25&gt;0</formula>
    </cfRule>
    <cfRule type="expression" dxfId="12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77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60.92</v>
      </c>
      <c r="R4" s="498">
        <v>-2.9999999999999997E-4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6092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-342.75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-342.75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-5.3265472629084272E-2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4.1037426132632962E-2</v>
      </c>
      <c r="R11">
        <f>0.625</f>
        <v>0.625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Q4/3.79</f>
        <v>16.073878627968337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67.012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66.402800000000013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65.793600000000012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65.184400000000011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64.575200000000009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63.966000000000001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63.356800000000007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62.747600000000006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62.138400000000004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61.529200000000003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60.92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60.3108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59.701599999999999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59.092399999999998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58.483199999999997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57.874000000000002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57.264800000000001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56.655600000000007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56.046400000000006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55.437200000000004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54.828000000000003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5" priority="31">
      <formula>F47&gt;0</formula>
    </cfRule>
    <cfRule type="expression" dxfId="1204" priority="32">
      <formula>F47&lt;0</formula>
    </cfRule>
  </conditionalFormatting>
  <conditionalFormatting sqref="Q7">
    <cfRule type="expression" dxfId="1203" priority="29">
      <formula>Q7&gt;0</formula>
    </cfRule>
    <cfRule type="expression" dxfId="1202" priority="30">
      <formula>Q7&lt;0</formula>
    </cfRule>
  </conditionalFormatting>
  <conditionalFormatting sqref="Q8">
    <cfRule type="expression" dxfId="1201" priority="27">
      <formula>Q8&gt;0</formula>
    </cfRule>
    <cfRule type="expression" dxfId="1200" priority="28">
      <formula>Q8&lt;0</formula>
    </cfRule>
  </conditionalFormatting>
  <conditionalFormatting sqref="F30:F46">
    <cfRule type="expression" dxfId="1199" priority="25">
      <formula>F30&gt;0</formula>
    </cfRule>
    <cfRule type="expression" dxfId="1198" priority="26">
      <formula>F30&lt;0</formula>
    </cfRule>
  </conditionalFormatting>
  <conditionalFormatting sqref="H30:H46">
    <cfRule type="expression" dxfId="1197" priority="23">
      <formula>H30&gt;0</formula>
    </cfRule>
    <cfRule type="expression" dxfId="1196" priority="24">
      <formula>H30&lt;0</formula>
    </cfRule>
  </conditionalFormatting>
  <conditionalFormatting sqref="Q10">
    <cfRule type="expression" dxfId="1195" priority="21">
      <formula>Q10&gt;0</formula>
    </cfRule>
    <cfRule type="expression" dxfId="1194" priority="22">
      <formula>Q10&lt;0</formula>
    </cfRule>
  </conditionalFormatting>
  <conditionalFormatting sqref="J25:J38">
    <cfRule type="expression" dxfId="1193" priority="19">
      <formula>J25&gt;0</formula>
    </cfRule>
    <cfRule type="expression" dxfId="1192" priority="20">
      <formula>J25&lt;0</formula>
    </cfRule>
  </conditionalFormatting>
  <conditionalFormatting sqref="K25:K38">
    <cfRule type="expression" dxfId="1191" priority="17">
      <formula>K25&gt;0</formula>
    </cfRule>
    <cfRule type="expression" dxfId="1190" priority="18">
      <formula>K25&lt;0</formula>
    </cfRule>
  </conditionalFormatting>
  <conditionalFormatting sqref="L25:L38">
    <cfRule type="expression" dxfId="1189" priority="15">
      <formula>L25&gt;0</formula>
    </cfRule>
    <cfRule type="expression" dxfId="1188" priority="16">
      <formula>L25&lt;0</formula>
    </cfRule>
  </conditionalFormatting>
  <conditionalFormatting sqref="F89:F110">
    <cfRule type="expression" dxfId="1187" priority="13">
      <formula>F89&gt;0</formula>
    </cfRule>
    <cfRule type="expression" dxfId="1186" priority="14">
      <formula>F89&lt;0</formula>
    </cfRule>
  </conditionalFormatting>
  <conditionalFormatting sqref="H89:H110">
    <cfRule type="expression" dxfId="1185" priority="11">
      <formula>H89&gt;0</formula>
    </cfRule>
    <cfRule type="expression" dxfId="1184" priority="12">
      <formula>H89&lt;0</formula>
    </cfRule>
  </conditionalFormatting>
  <conditionalFormatting sqref="J89:J102">
    <cfRule type="expression" dxfId="1183" priority="9">
      <formula>J89&gt;0</formula>
    </cfRule>
    <cfRule type="expression" dxfId="1182" priority="10">
      <formula>J89&lt;0</formula>
    </cfRule>
  </conditionalFormatting>
  <conditionalFormatting sqref="K89:K102">
    <cfRule type="expression" dxfId="1181" priority="7">
      <formula>K89&gt;0</formula>
    </cfRule>
    <cfRule type="expression" dxfId="1180" priority="8">
      <formula>K89&lt;0</formula>
    </cfRule>
  </conditionalFormatting>
  <conditionalFormatting sqref="L89:L102">
    <cfRule type="expression" dxfId="1179" priority="5">
      <formula>L89&gt;0</formula>
    </cfRule>
    <cfRule type="expression" dxfId="1178" priority="6">
      <formula>L89&lt;0</formula>
    </cfRule>
  </conditionalFormatting>
  <conditionalFormatting sqref="F25:F29">
    <cfRule type="expression" dxfId="1177" priority="3">
      <formula>F25&gt;0</formula>
    </cfRule>
    <cfRule type="expression" dxfId="1176" priority="4">
      <formula>F25&lt;0</formula>
    </cfRule>
  </conditionalFormatting>
  <conditionalFormatting sqref="H25:H29">
    <cfRule type="expression" dxfId="1175" priority="1">
      <formula>H25&gt;0</formula>
    </cfRule>
    <cfRule type="expression" dxfId="11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7">
        <v>43137</v>
      </c>
      <c r="C2" s="7">
        <v>200</v>
      </c>
      <c r="D2" s="43">
        <v>30.58</v>
      </c>
      <c r="E2" s="43">
        <v>0</v>
      </c>
      <c r="F2" s="43">
        <f t="shared" ref="F2:F4" si="0">C2*D2+E2</f>
        <v>6116</v>
      </c>
      <c r="G2" s="437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948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29.493499999999997</v>
      </c>
      <c r="T3" s="1"/>
    </row>
    <row r="4" spans="1:21" x14ac:dyDescent="0.25">
      <c r="B4" s="477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31.310099999999998</v>
      </c>
      <c r="R4" s="498">
        <v>1.1000000000000001E-3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6262.0199999999995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5898.7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363.31999999999971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363.31999999999971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6.1593232407140507E-2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8.4317839930246163E-2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34.441110000000002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34.128008999999999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33.814908000000003</v>
      </c>
    </row>
    <row r="20" spans="1:16" x14ac:dyDescent="0.25">
      <c r="O20" s="81">
        <v>1.07</v>
      </c>
      <c r="P20" s="81">
        <f t="shared" si="1"/>
        <v>33.501806999999999</v>
      </c>
    </row>
    <row r="21" spans="1:16" x14ac:dyDescent="0.25">
      <c r="O21" s="81">
        <v>1.06</v>
      </c>
      <c r="P21" s="81">
        <f t="shared" si="1"/>
        <v>33.188706000000003</v>
      </c>
    </row>
    <row r="22" spans="1:16" x14ac:dyDescent="0.25">
      <c r="O22" s="81">
        <v>1.05</v>
      </c>
      <c r="P22" s="81">
        <f t="shared" si="1"/>
        <v>32.875605</v>
      </c>
    </row>
    <row r="23" spans="1:16" x14ac:dyDescent="0.25">
      <c r="O23" s="81">
        <v>1.04</v>
      </c>
      <c r="P23" s="81">
        <f t="shared" si="1"/>
        <v>32.562503999999997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32.249403000000001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31.936301999999998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31.623200999999998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31.310099999999998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30.996998999999999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30.683897999999999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30.370796999999996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2" si="20">C31*(E31-D31)</f>
        <v>269.44000000000017</v>
      </c>
      <c r="G31" s="39">
        <f t="shared" ref="G31:G32" si="21">D31*C31</f>
        <v>12234.560000000001</v>
      </c>
      <c r="H31" s="225">
        <f t="shared" ref="H31:H32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30.057695999999996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29.744594999999997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29.431493999999997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29.118393000000001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28.805292000000001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28.492190999999998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28.179089999999999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3" priority="35">
      <formula>F47&gt;0</formula>
    </cfRule>
    <cfRule type="expression" dxfId="1172" priority="36">
      <formula>F47&lt;0</formula>
    </cfRule>
  </conditionalFormatting>
  <conditionalFormatting sqref="Q7">
    <cfRule type="expression" dxfId="1171" priority="33">
      <formula>Q7&gt;0</formula>
    </cfRule>
    <cfRule type="expression" dxfId="1170" priority="34">
      <formula>Q7&lt;0</formula>
    </cfRule>
  </conditionalFormatting>
  <conditionalFormatting sqref="Q8">
    <cfRule type="expression" dxfId="1169" priority="31">
      <formula>Q8&gt;0</formula>
    </cfRule>
    <cfRule type="expression" dxfId="1168" priority="32">
      <formula>Q8&lt;0</formula>
    </cfRule>
  </conditionalFormatting>
  <conditionalFormatting sqref="F32:F46">
    <cfRule type="expression" dxfId="1167" priority="29">
      <formula>F32&gt;0</formula>
    </cfRule>
    <cfRule type="expression" dxfId="1166" priority="30">
      <formula>F32&lt;0</formula>
    </cfRule>
  </conditionalFormatting>
  <conditionalFormatting sqref="H32:H46">
    <cfRule type="expression" dxfId="1165" priority="27">
      <formula>H32&gt;0</formula>
    </cfRule>
    <cfRule type="expression" dxfId="1164" priority="28">
      <formula>H32&lt;0</formula>
    </cfRule>
  </conditionalFormatting>
  <conditionalFormatting sqref="Q10">
    <cfRule type="expression" dxfId="1163" priority="25">
      <formula>Q10&gt;0</formula>
    </cfRule>
    <cfRule type="expression" dxfId="1162" priority="26">
      <formula>Q10&lt;0</formula>
    </cfRule>
  </conditionalFormatting>
  <conditionalFormatting sqref="J25:J38">
    <cfRule type="expression" dxfId="1161" priority="23">
      <formula>J25&gt;0</formula>
    </cfRule>
    <cfRule type="expression" dxfId="1160" priority="24">
      <formula>J25&lt;0</formula>
    </cfRule>
  </conditionalFormatting>
  <conditionalFormatting sqref="K25:K38">
    <cfRule type="expression" dxfId="1159" priority="21">
      <formula>K25&gt;0</formula>
    </cfRule>
    <cfRule type="expression" dxfId="1158" priority="22">
      <formula>K25&lt;0</formula>
    </cfRule>
  </conditionalFormatting>
  <conditionalFormatting sqref="L25:L38">
    <cfRule type="expression" dxfId="1157" priority="19">
      <formula>L25&gt;0</formula>
    </cfRule>
    <cfRule type="expression" dxfId="1156" priority="20">
      <formula>L25&lt;0</formula>
    </cfRule>
  </conditionalFormatting>
  <conditionalFormatting sqref="F89:F110">
    <cfRule type="expression" dxfId="1155" priority="17">
      <formula>F89&gt;0</formula>
    </cfRule>
    <cfRule type="expression" dxfId="1154" priority="18">
      <formula>F89&lt;0</formula>
    </cfRule>
  </conditionalFormatting>
  <conditionalFormatting sqref="H89:H110">
    <cfRule type="expression" dxfId="1153" priority="15">
      <formula>H89&gt;0</formula>
    </cfRule>
    <cfRule type="expression" dxfId="1152" priority="16">
      <formula>H89&lt;0</formula>
    </cfRule>
  </conditionalFormatting>
  <conditionalFormatting sqref="J89:J102">
    <cfRule type="expression" dxfId="1151" priority="13">
      <formula>J89&gt;0</formula>
    </cfRule>
    <cfRule type="expression" dxfId="1150" priority="14">
      <formula>J89&lt;0</formula>
    </cfRule>
  </conditionalFormatting>
  <conditionalFormatting sqref="K89:K102">
    <cfRule type="expression" dxfId="1149" priority="11">
      <formula>K89&gt;0</formula>
    </cfRule>
    <cfRule type="expression" dxfId="1148" priority="12">
      <formula>K89&lt;0</formula>
    </cfRule>
  </conditionalFormatting>
  <conditionalFormatting sqref="L89:L102">
    <cfRule type="expression" dxfId="1147" priority="9">
      <formula>L89&gt;0</formula>
    </cfRule>
    <cfRule type="expression" dxfId="1146" priority="10">
      <formula>L89&lt;0</formula>
    </cfRule>
  </conditionalFormatting>
  <conditionalFormatting sqref="F25:F28">
    <cfRule type="expression" dxfId="1145" priority="7">
      <formula>F25&gt;0</formula>
    </cfRule>
    <cfRule type="expression" dxfId="1144" priority="8">
      <formula>F25&lt;0</formula>
    </cfRule>
  </conditionalFormatting>
  <conditionalFormatting sqref="H25:H28">
    <cfRule type="expression" dxfId="1143" priority="5">
      <formula>H25&gt;0</formula>
    </cfRule>
    <cfRule type="expression" dxfId="1142" priority="6">
      <formula>H25&lt;0</formula>
    </cfRule>
  </conditionalFormatting>
  <conditionalFormatting sqref="F29:F31">
    <cfRule type="expression" dxfId="1141" priority="3">
      <formula>F29&gt;0</formula>
    </cfRule>
    <cfRule type="expression" dxfId="1140" priority="4">
      <formula>F29&lt;0</formula>
    </cfRule>
  </conditionalFormatting>
  <conditionalFormatting sqref="H29:H31">
    <cfRule type="expression" dxfId="1139" priority="1">
      <formula>H29&gt;0</formula>
    </cfRule>
    <cfRule type="expression" dxfId="113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940</v>
      </c>
      <c r="B2" s="437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37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986</v>
      </c>
      <c r="U2" t="s">
        <v>987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477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130.80000000000001</v>
      </c>
      <c r="R4" s="498">
        <v>-2.8999999999999998E-3</v>
      </c>
      <c r="T4" s="779">
        <v>43193</v>
      </c>
      <c r="U4" s="30" t="s">
        <v>994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6540.0000000000009</v>
      </c>
      <c r="U5" s="478" t="s">
        <v>1031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-490.86999999999989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-490.86999999999989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-6.9816395410525284E-2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968</v>
      </c>
      <c r="Q12" s="1"/>
    </row>
    <row r="13" spans="1:21" x14ac:dyDescent="0.25">
      <c r="H13" s="70"/>
      <c r="O13" s="11" t="s">
        <v>997</v>
      </c>
      <c r="Q13">
        <f>Q4/8.62</f>
        <v>15.174013921113692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87" t="s">
        <v>78</v>
      </c>
      <c r="P18" s="787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143.88000000000002</v>
      </c>
    </row>
    <row r="20" spans="1:16" x14ac:dyDescent="0.25">
      <c r="O20" s="81">
        <v>1.0900000000000001</v>
      </c>
      <c r="P20" s="81">
        <f t="shared" ref="P20:P39" si="1">O20*$Q$4</f>
        <v>142.57200000000003</v>
      </c>
    </row>
    <row r="21" spans="1:16" x14ac:dyDescent="0.25">
      <c r="O21" s="81">
        <v>1.08</v>
      </c>
      <c r="P21" s="81">
        <f t="shared" si="1"/>
        <v>141.26400000000001</v>
      </c>
    </row>
    <row r="22" spans="1:16" x14ac:dyDescent="0.25">
      <c r="O22" s="81">
        <v>1.07</v>
      </c>
      <c r="P22" s="81">
        <f t="shared" si="1"/>
        <v>139.95600000000002</v>
      </c>
    </row>
    <row r="23" spans="1:16" x14ac:dyDescent="0.25">
      <c r="O23" s="81">
        <v>1.06</v>
      </c>
      <c r="P23" s="81">
        <f t="shared" si="1"/>
        <v>138.64800000000002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997</v>
      </c>
      <c r="O24" s="81">
        <v>1.05</v>
      </c>
      <c r="P24" s="81">
        <f t="shared" si="1"/>
        <v>137.34000000000003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136.03200000000001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134.72400000000002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133.41600000000003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132.108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130.80000000000001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129.49200000000002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128.184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" si="23">C32*(E32-D32)</f>
        <v>-439.36999999999955</v>
      </c>
      <c r="G32" s="39">
        <f t="shared" ref="G32" si="24">D32*C32</f>
        <v>7030.87</v>
      </c>
      <c r="H32" s="225">
        <f t="shared" ref="H32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126.876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0.96</v>
      </c>
      <c r="P33" s="81">
        <f t="shared" si="1"/>
        <v>125.56800000000001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124.26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122.952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121.64400000000002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120.33600000000001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119.02800000000002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117.72000000000001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7" priority="31">
      <formula>F47&gt;0</formula>
    </cfRule>
    <cfRule type="expression" dxfId="1136" priority="32">
      <formula>F47&lt;0</formula>
    </cfRule>
  </conditionalFormatting>
  <conditionalFormatting sqref="Q7">
    <cfRule type="expression" dxfId="1135" priority="29">
      <formula>Q7&gt;0</formula>
    </cfRule>
    <cfRule type="expression" dxfId="1134" priority="30">
      <formula>Q7&lt;0</formula>
    </cfRule>
  </conditionalFormatting>
  <conditionalFormatting sqref="Q8">
    <cfRule type="expression" dxfId="1133" priority="27">
      <formula>Q8&gt;0</formula>
    </cfRule>
    <cfRule type="expression" dxfId="1132" priority="28">
      <formula>Q8&lt;0</formula>
    </cfRule>
  </conditionalFormatting>
  <conditionalFormatting sqref="F34:F46">
    <cfRule type="expression" dxfId="1131" priority="25">
      <formula>F34&gt;0</formula>
    </cfRule>
    <cfRule type="expression" dxfId="1130" priority="26">
      <formula>F34&lt;0</formula>
    </cfRule>
  </conditionalFormatting>
  <conditionalFormatting sqref="H34:H46">
    <cfRule type="expression" dxfId="1129" priority="23">
      <formula>H34&gt;0</formula>
    </cfRule>
    <cfRule type="expression" dxfId="1128" priority="24">
      <formula>H34&lt;0</formula>
    </cfRule>
  </conditionalFormatting>
  <conditionalFormatting sqref="Q10">
    <cfRule type="expression" dxfId="1127" priority="21">
      <formula>Q10&gt;0</formula>
    </cfRule>
    <cfRule type="expression" dxfId="1126" priority="22">
      <formula>Q10&lt;0</formula>
    </cfRule>
  </conditionalFormatting>
  <conditionalFormatting sqref="J25:J38">
    <cfRule type="expression" dxfId="1125" priority="19">
      <formula>J25&gt;0</formula>
    </cfRule>
    <cfRule type="expression" dxfId="1124" priority="20">
      <formula>J25&lt;0</formula>
    </cfRule>
  </conditionalFormatting>
  <conditionalFormatting sqref="K25:K38">
    <cfRule type="expression" dxfId="1123" priority="17">
      <formula>K25&gt;0</formula>
    </cfRule>
    <cfRule type="expression" dxfId="1122" priority="18">
      <formula>K25&lt;0</formula>
    </cfRule>
  </conditionalFormatting>
  <conditionalFormatting sqref="L25">
    <cfRule type="expression" dxfId="1121" priority="15">
      <formula>L25&gt;0</formula>
    </cfRule>
    <cfRule type="expression" dxfId="1120" priority="16">
      <formula>L25&lt;0</formula>
    </cfRule>
  </conditionalFormatting>
  <conditionalFormatting sqref="F89:F110">
    <cfRule type="expression" dxfId="1119" priority="13">
      <formula>F89&gt;0</formula>
    </cfRule>
    <cfRule type="expression" dxfId="1118" priority="14">
      <formula>F89&lt;0</formula>
    </cfRule>
  </conditionalFormatting>
  <conditionalFormatting sqref="H89:H110">
    <cfRule type="expression" dxfId="1117" priority="11">
      <formula>H89&gt;0</formula>
    </cfRule>
    <cfRule type="expression" dxfId="1116" priority="12">
      <formula>H89&lt;0</formula>
    </cfRule>
  </conditionalFormatting>
  <conditionalFormatting sqref="J89:J102">
    <cfRule type="expression" dxfId="1115" priority="9">
      <formula>J89&gt;0</formula>
    </cfRule>
    <cfRule type="expression" dxfId="1114" priority="10">
      <formula>J89&lt;0</formula>
    </cfRule>
  </conditionalFormatting>
  <conditionalFormatting sqref="K89:K102">
    <cfRule type="expression" dxfId="1113" priority="7">
      <formula>K89&gt;0</formula>
    </cfRule>
    <cfRule type="expression" dxfId="1112" priority="8">
      <formula>K89&lt;0</formula>
    </cfRule>
  </conditionalFormatting>
  <conditionalFormatting sqref="L89:L102">
    <cfRule type="expression" dxfId="1111" priority="5">
      <formula>L89&gt;0</formula>
    </cfRule>
    <cfRule type="expression" dxfId="1110" priority="6">
      <formula>L89&lt;0</formula>
    </cfRule>
  </conditionalFormatting>
  <conditionalFormatting sqref="F25:F33">
    <cfRule type="expression" dxfId="1109" priority="3">
      <formula>F25&gt;0</formula>
    </cfRule>
    <cfRule type="expression" dxfId="1108" priority="4">
      <formula>F25&lt;0</formula>
    </cfRule>
  </conditionalFormatting>
  <conditionalFormatting sqref="H25:H33">
    <cfRule type="expression" dxfId="1107" priority="1">
      <formula>H25&gt;0</formula>
    </cfRule>
    <cfRule type="expression" dxfId="11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7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37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37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4"/>
      <c r="M3" s="4"/>
      <c r="O3" s="11" t="s">
        <v>58</v>
      </c>
      <c r="Q3" s="224">
        <f>IF(Q2=0, Q4, (F18-K18-M18)/Q2)</f>
        <v>238.08577777777776</v>
      </c>
      <c r="T3" s="1"/>
    </row>
    <row r="4" spans="1:21" x14ac:dyDescent="0.25">
      <c r="B4" s="72">
        <v>43136</v>
      </c>
      <c r="C4" s="7">
        <v>15</v>
      </c>
      <c r="D4" s="43">
        <v>240.11</v>
      </c>
      <c r="E4" s="43">
        <v>0</v>
      </c>
      <c r="F4" s="43">
        <f>C4*D4+E4</f>
        <v>3601.65</v>
      </c>
      <c r="G4" s="437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243.57990000000001</v>
      </c>
      <c r="R4" s="498">
        <v>-5.0000000000000001E-3</v>
      </c>
      <c r="T4" s="779"/>
      <c r="U4" s="30"/>
    </row>
    <row r="5" spans="1:21" x14ac:dyDescent="0.25">
      <c r="B5" s="437">
        <v>43140</v>
      </c>
      <c r="C5" s="4">
        <v>30</v>
      </c>
      <c r="D5" s="3">
        <v>234.88</v>
      </c>
      <c r="E5" s="3">
        <v>0</v>
      </c>
      <c r="F5" s="3">
        <f>C5*D5+E5</f>
        <v>7046.4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10961.095500000001</v>
      </c>
    </row>
    <row r="6" spans="1:21" x14ac:dyDescent="0.25">
      <c r="B6" s="477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10713.859999999999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247.2355000000025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247.2355000000025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2.307623022888133E-2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v>16.34</v>
      </c>
      <c r="S13" s="22" t="s">
        <v>1003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85</v>
      </c>
      <c r="D18" s="18"/>
      <c r="E18" s="18"/>
      <c r="F18" s="18">
        <f>SUM(F2:F8)</f>
        <v>20449.75</v>
      </c>
      <c r="G18" s="14"/>
      <c r="H18" s="71">
        <f>SUM(H2:H5)</f>
        <v>40</v>
      </c>
      <c r="I18" s="18"/>
      <c r="J18" s="18"/>
      <c r="K18" s="18">
        <f>SUM(K2:K5)</f>
        <v>9706.880000000001</v>
      </c>
      <c r="L18" s="14"/>
      <c r="M18" s="18">
        <f>SUM(M2:M10)</f>
        <v>29.01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5982</v>
      </c>
      <c r="G19" s="346"/>
      <c r="H19" s="346">
        <f>SumByColor($A$19,H2:H17)</f>
        <v>25</v>
      </c>
      <c r="I19" s="346"/>
      <c r="J19" s="346"/>
      <c r="K19" s="347">
        <f>SumByColor($A$19,K2:K17)</f>
        <v>9707</v>
      </c>
      <c r="L19" s="346"/>
      <c r="M19" s="347">
        <f>SumByColor($A$19,M2:M17)</f>
        <v>29</v>
      </c>
    </row>
    <row r="22" spans="1:17" ht="20.25" thickBot="1" x14ac:dyDescent="0.35">
      <c r="O22" s="787" t="s">
        <v>78</v>
      </c>
      <c r="P22" s="787"/>
    </row>
    <row r="23" spans="1:17" ht="15.75" thickTop="1" x14ac:dyDescent="0.25">
      <c r="O23" s="81">
        <v>1.1000000000000001</v>
      </c>
      <c r="P23" s="81">
        <f>O23*$Q$4</f>
        <v>267.93789000000004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265.50209100000001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263.06629200000003</v>
      </c>
      <c r="Q25" s="2"/>
    </row>
    <row r="26" spans="1:17" x14ac:dyDescent="0.25">
      <c r="B26" s="187">
        <v>43136</v>
      </c>
      <c r="C26" s="10">
        <v>30</v>
      </c>
      <c r="D26" s="3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260.630493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258.19469400000003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255.75889500000002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253.32309600000002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250.88729700000002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5" si="15">C31*(E31-D31)</f>
        <v>-267.97099999999955</v>
      </c>
      <c r="G31" s="39">
        <f t="shared" ref="G31:G35" si="16">D31*C31</f>
        <v>13200.120999999999</v>
      </c>
      <c r="H31" s="225">
        <f t="shared" ref="H31:H35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248.45149800000002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246.01569900000001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243.57990000000001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241.14410100000001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238.708302</v>
      </c>
      <c r="Q35" s="2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2"/>
        <v>236.272503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2"/>
        <v>233.836704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2"/>
        <v>231.40090499999999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228.96510599999999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226.52930700000002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224.09350800000001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221.65770900000001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219.22191000000001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5" priority="31">
      <formula>F47&gt;0</formula>
    </cfRule>
    <cfRule type="expression" dxfId="1104" priority="32">
      <formula>F47&lt;0</formula>
    </cfRule>
  </conditionalFormatting>
  <conditionalFormatting sqref="Q7">
    <cfRule type="expression" dxfId="1103" priority="29">
      <formula>Q7&gt;0</formula>
    </cfRule>
    <cfRule type="expression" dxfId="1102" priority="30">
      <formula>Q7&lt;0</formula>
    </cfRule>
  </conditionalFormatting>
  <conditionalFormatting sqref="Q8">
    <cfRule type="expression" dxfId="1101" priority="27">
      <formula>Q8&gt;0</formula>
    </cfRule>
    <cfRule type="expression" dxfId="1100" priority="28">
      <formula>Q8&lt;0</formula>
    </cfRule>
  </conditionalFormatting>
  <conditionalFormatting sqref="F32:F46">
    <cfRule type="expression" dxfId="1099" priority="25">
      <formula>F32&gt;0</formula>
    </cfRule>
    <cfRule type="expression" dxfId="1098" priority="26">
      <formula>F32&lt;0</formula>
    </cfRule>
  </conditionalFormatting>
  <conditionalFormatting sqref="H32:H46">
    <cfRule type="expression" dxfId="1097" priority="23">
      <formula>H32&gt;0</formula>
    </cfRule>
    <cfRule type="expression" dxfId="1096" priority="24">
      <formula>H32&lt;0</formula>
    </cfRule>
  </conditionalFormatting>
  <conditionalFormatting sqref="Q10">
    <cfRule type="expression" dxfId="1095" priority="21">
      <formula>Q10&gt;0</formula>
    </cfRule>
    <cfRule type="expression" dxfId="1094" priority="22">
      <formula>Q10&lt;0</formula>
    </cfRule>
  </conditionalFormatting>
  <conditionalFormatting sqref="J25:J38">
    <cfRule type="expression" dxfId="1093" priority="19">
      <formula>J25&gt;0</formula>
    </cfRule>
    <cfRule type="expression" dxfId="1092" priority="20">
      <formula>J25&lt;0</formula>
    </cfRule>
  </conditionalFormatting>
  <conditionalFormatting sqref="K25:K38">
    <cfRule type="expression" dxfId="1091" priority="17">
      <formula>K25&gt;0</formula>
    </cfRule>
    <cfRule type="expression" dxfId="1090" priority="18">
      <formula>K25&lt;0</formula>
    </cfRule>
  </conditionalFormatting>
  <conditionalFormatting sqref="L25:L38">
    <cfRule type="expression" dxfId="1089" priority="15">
      <formula>L25&gt;0</formula>
    </cfRule>
    <cfRule type="expression" dxfId="1088" priority="16">
      <formula>L25&lt;0</formula>
    </cfRule>
  </conditionalFormatting>
  <conditionalFormatting sqref="F89:F110">
    <cfRule type="expression" dxfId="1087" priority="13">
      <formula>F89&gt;0</formula>
    </cfRule>
    <cfRule type="expression" dxfId="1086" priority="14">
      <formula>F89&lt;0</formula>
    </cfRule>
  </conditionalFormatting>
  <conditionalFormatting sqref="H89:H110">
    <cfRule type="expression" dxfId="1085" priority="11">
      <formula>H89&gt;0</formula>
    </cfRule>
    <cfRule type="expression" dxfId="1084" priority="12">
      <formula>H89&lt;0</formula>
    </cfRule>
  </conditionalFormatting>
  <conditionalFormatting sqref="J89:J102">
    <cfRule type="expression" dxfId="1083" priority="9">
      <formula>J89&gt;0</formula>
    </cfRule>
    <cfRule type="expression" dxfId="1082" priority="10">
      <formula>J89&lt;0</formula>
    </cfRule>
  </conditionalFormatting>
  <conditionalFormatting sqref="K89:K102">
    <cfRule type="expression" dxfId="1081" priority="7">
      <formula>K89&gt;0</formula>
    </cfRule>
    <cfRule type="expression" dxfId="1080" priority="8">
      <formula>K89&lt;0</formula>
    </cfRule>
  </conditionalFormatting>
  <conditionalFormatting sqref="L89:L102">
    <cfRule type="expression" dxfId="1079" priority="5">
      <formula>L89&gt;0</formula>
    </cfRule>
    <cfRule type="expression" dxfId="1078" priority="6">
      <formula>L89&lt;0</formula>
    </cfRule>
  </conditionalFormatting>
  <conditionalFormatting sqref="F25:F31">
    <cfRule type="expression" dxfId="1077" priority="3">
      <formula>F25&gt;0</formula>
    </cfRule>
    <cfRule type="expression" dxfId="1076" priority="4">
      <formula>F25&lt;0</formula>
    </cfRule>
  </conditionalFormatting>
  <conditionalFormatting sqref="H25:H31">
    <cfRule type="expression" dxfId="1075" priority="1">
      <formula>H25&gt;0</formula>
    </cfRule>
    <cfRule type="expression" dxfId="107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72.539900000000003</v>
      </c>
      <c r="R4" s="498">
        <v>1.1000000000000001E-3</v>
      </c>
      <c r="T4" s="779">
        <v>43103</v>
      </c>
      <c r="U4" s="30" t="s">
        <v>859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2901.596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207.99600000000009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207.99600000000009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7.7218592218592244E-2</v>
      </c>
      <c r="T9" s="779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1.3234095994066712E-2</v>
      </c>
      <c r="R11">
        <v>0.24</v>
      </c>
    </row>
    <row r="12" spans="1:21" x14ac:dyDescent="0.25">
      <c r="H12" s="70"/>
      <c r="O12" s="11" t="s">
        <v>968</v>
      </c>
      <c r="Q12" s="1" t="s">
        <v>1019</v>
      </c>
    </row>
    <row r="13" spans="1:21" x14ac:dyDescent="0.25">
      <c r="H13" s="70"/>
      <c r="O13" s="11" t="s">
        <v>997</v>
      </c>
      <c r="Q13">
        <f>Q4/3.55</f>
        <v>20.433774647887326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88" t="s">
        <v>78</v>
      </c>
      <c r="P22" s="788"/>
    </row>
    <row r="23" spans="1:17" ht="15.75" thickTop="1" x14ac:dyDescent="0.25">
      <c r="O23" s="81">
        <v>1.1000000000000001</v>
      </c>
      <c r="P23" s="81">
        <f>O23*$Q$4</f>
        <v>79.793890000000005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1.0900000000000001</v>
      </c>
      <c r="P24" s="81">
        <f t="shared" ref="P24:P43" si="1">O24*$Q$4</f>
        <v>79.068491000000009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78.343092000000013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77.617693000000003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76.892294000000007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76.166895000000011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75.441496000000001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74.716097000000005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73.990698000000009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73.265298999999999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72.539900000000003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71.814501000000007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71.089101999999997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70.363703000000001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69.638304000000005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68.912904999999995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68.187505999999999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67.462107000000003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66.736708000000007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66.011309000000011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65.285910000000001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3" priority="31">
      <formula>F47&gt;0</formula>
    </cfRule>
    <cfRule type="expression" dxfId="1072" priority="32">
      <formula>F47&lt;0</formula>
    </cfRule>
  </conditionalFormatting>
  <conditionalFormatting sqref="Q7">
    <cfRule type="expression" dxfId="1071" priority="29">
      <formula>Q7&gt;0</formula>
    </cfRule>
    <cfRule type="expression" dxfId="1070" priority="30">
      <formula>Q7&lt;0</formula>
    </cfRule>
  </conditionalFormatting>
  <conditionalFormatting sqref="Q8">
    <cfRule type="expression" dxfId="1069" priority="27">
      <formula>Q8&gt;0</formula>
    </cfRule>
    <cfRule type="expression" dxfId="1068" priority="28">
      <formula>Q8&lt;0</formula>
    </cfRule>
  </conditionalFormatting>
  <conditionalFormatting sqref="F30:F46">
    <cfRule type="expression" dxfId="1067" priority="25">
      <formula>F30&gt;0</formula>
    </cfRule>
    <cfRule type="expression" dxfId="1066" priority="26">
      <formula>F30&lt;0</formula>
    </cfRule>
  </conditionalFormatting>
  <conditionalFormatting sqref="H30:H46">
    <cfRule type="expression" dxfId="1065" priority="23">
      <formula>H30&gt;0</formula>
    </cfRule>
    <cfRule type="expression" dxfId="1064" priority="24">
      <formula>H30&lt;0</formula>
    </cfRule>
  </conditionalFormatting>
  <conditionalFormatting sqref="Q10">
    <cfRule type="expression" dxfId="1063" priority="21">
      <formula>Q10&gt;0</formula>
    </cfRule>
    <cfRule type="expression" dxfId="1062" priority="22">
      <formula>Q10&lt;0</formula>
    </cfRule>
  </conditionalFormatting>
  <conditionalFormatting sqref="J25:J38">
    <cfRule type="expression" dxfId="1061" priority="19">
      <formula>J25&gt;0</formula>
    </cfRule>
    <cfRule type="expression" dxfId="1060" priority="20">
      <formula>J25&lt;0</formula>
    </cfRule>
  </conditionalFormatting>
  <conditionalFormatting sqref="K25:K38">
    <cfRule type="expression" dxfId="1059" priority="17">
      <formula>K25&gt;0</formula>
    </cfRule>
    <cfRule type="expression" dxfId="1058" priority="18">
      <formula>K25&lt;0</formula>
    </cfRule>
  </conditionalFormatting>
  <conditionalFormatting sqref="L25:L38">
    <cfRule type="expression" dxfId="1057" priority="15">
      <formula>L25&gt;0</formula>
    </cfRule>
    <cfRule type="expression" dxfId="1056" priority="16">
      <formula>L25&lt;0</formula>
    </cfRule>
  </conditionalFormatting>
  <conditionalFormatting sqref="F89:F110">
    <cfRule type="expression" dxfId="1055" priority="13">
      <formula>F89&gt;0</formula>
    </cfRule>
    <cfRule type="expression" dxfId="1054" priority="14">
      <formula>F89&lt;0</formula>
    </cfRule>
  </conditionalFormatting>
  <conditionalFormatting sqref="H89:H110">
    <cfRule type="expression" dxfId="1053" priority="11">
      <formula>H89&gt;0</formula>
    </cfRule>
    <cfRule type="expression" dxfId="1052" priority="12">
      <formula>H89&lt;0</formula>
    </cfRule>
  </conditionalFormatting>
  <conditionalFormatting sqref="J89:J102">
    <cfRule type="expression" dxfId="1051" priority="9">
      <formula>J89&gt;0</formula>
    </cfRule>
    <cfRule type="expression" dxfId="1050" priority="10">
      <formula>J89&lt;0</formula>
    </cfRule>
  </conditionalFormatting>
  <conditionalFormatting sqref="K89:K102">
    <cfRule type="expression" dxfId="1049" priority="7">
      <formula>K89&gt;0</formula>
    </cfRule>
    <cfRule type="expression" dxfId="1048" priority="8">
      <formula>K89&lt;0</formula>
    </cfRule>
  </conditionalFormatting>
  <conditionalFormatting sqref="L89:L102">
    <cfRule type="expression" dxfId="1047" priority="5">
      <formula>L89&gt;0</formula>
    </cfRule>
    <cfRule type="expression" dxfId="1046" priority="6">
      <formula>L89&lt;0</formula>
    </cfRule>
  </conditionalFormatting>
  <conditionalFormatting sqref="F25:F29">
    <cfRule type="expression" dxfId="1045" priority="3">
      <formula>F25&gt;0</formula>
    </cfRule>
    <cfRule type="expression" dxfId="1044" priority="4">
      <formula>F25&lt;0</formula>
    </cfRule>
  </conditionalFormatting>
  <conditionalFormatting sqref="H25:H29">
    <cfRule type="expression" dxfId="1043" priority="1">
      <formula>H25&gt;0</formula>
    </cfRule>
    <cfRule type="expression" dxfId="10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78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504</v>
      </c>
      <c r="J22" s="223" t="s">
        <v>150</v>
      </c>
      <c r="K22" s="223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2" t="s">
        <v>7</v>
      </c>
      <c r="J37" s="472" t="s">
        <v>95</v>
      </c>
      <c r="K37" s="47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1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1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1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1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1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1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1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1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1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1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4">
        <v>42640</v>
      </c>
      <c r="C43" s="365">
        <v>20</v>
      </c>
      <c r="D43" s="366">
        <v>52.68</v>
      </c>
      <c r="E43" s="366">
        <v>0</v>
      </c>
      <c r="F43" s="366">
        <f t="shared" si="0"/>
        <v>1053.5999999999999</v>
      </c>
      <c r="G43" s="624">
        <v>42724</v>
      </c>
      <c r="H43" s="365">
        <v>20</v>
      </c>
      <c r="I43" s="366">
        <v>54.68</v>
      </c>
      <c r="J43" s="366">
        <v>0.02</v>
      </c>
      <c r="K43" s="366">
        <f>H43*I43-J43</f>
        <v>1093.58</v>
      </c>
      <c r="L43" s="364">
        <v>42739</v>
      </c>
      <c r="M43" s="36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4">
        <v>42640</v>
      </c>
      <c r="C44" s="365">
        <v>20</v>
      </c>
      <c r="D44" s="366">
        <v>52.68</v>
      </c>
      <c r="E44" s="366">
        <v>0</v>
      </c>
      <c r="F44" s="366">
        <f t="shared" si="0"/>
        <v>1053.5999999999999</v>
      </c>
      <c r="G44" s="624">
        <v>42741</v>
      </c>
      <c r="H44" s="369">
        <v>20</v>
      </c>
      <c r="I44" s="366">
        <v>53.94</v>
      </c>
      <c r="J44" s="366">
        <v>0.12</v>
      </c>
      <c r="K44" s="366">
        <f>H44*I44-J44</f>
        <v>1078.68</v>
      </c>
      <c r="L44" s="365"/>
      <c r="M44" s="365"/>
      <c r="O44" s="847" t="s">
        <v>78</v>
      </c>
      <c r="P44" s="84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4">
        <v>42724</v>
      </c>
      <c r="C45" s="530">
        <v>20</v>
      </c>
      <c r="D45" s="531">
        <v>52.68</v>
      </c>
      <c r="E45" s="531">
        <v>0</v>
      </c>
      <c r="F45" s="531">
        <f t="shared" si="0"/>
        <v>1053.5999999999999</v>
      </c>
      <c r="G45" s="644">
        <v>42774</v>
      </c>
      <c r="H45" s="532">
        <v>20</v>
      </c>
      <c r="I45" s="531">
        <v>53.88</v>
      </c>
      <c r="J45" s="531">
        <v>0.02</v>
      </c>
      <c r="K45" s="531">
        <f>I45*H45-J45</f>
        <v>1077.5800000000002</v>
      </c>
      <c r="L45" s="526"/>
      <c r="M45" s="531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4">
        <v>42766</v>
      </c>
      <c r="C46" s="530">
        <v>20</v>
      </c>
      <c r="D46" s="531">
        <v>51.72</v>
      </c>
      <c r="E46" s="531">
        <v>0</v>
      </c>
      <c r="F46" s="531">
        <f t="shared" si="0"/>
        <v>1034.4000000000001</v>
      </c>
      <c r="G46" s="644">
        <v>42803</v>
      </c>
      <c r="H46" s="532">
        <v>20</v>
      </c>
      <c r="I46" s="531">
        <v>56.41</v>
      </c>
      <c r="J46" s="531">
        <v>0.12</v>
      </c>
      <c r="K46" s="531">
        <f>I46*H46-J46</f>
        <v>1128.08</v>
      </c>
      <c r="L46" s="530"/>
      <c r="M46" s="530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1"/>
      <c r="C47" s="253"/>
      <c r="D47" s="253"/>
      <c r="E47" s="253"/>
      <c r="F47" s="253"/>
      <c r="G47" s="551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1"/>
      <c r="C49" s="253"/>
      <c r="D49" s="253"/>
      <c r="E49" s="253"/>
      <c r="F49" s="253"/>
      <c r="G49" s="551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1"/>
      <c r="C50" s="253"/>
      <c r="D50" s="253"/>
      <c r="E50" s="253"/>
      <c r="F50" s="253"/>
      <c r="G50" s="551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1"/>
      <c r="C51" s="253"/>
      <c r="D51" s="253"/>
      <c r="E51" s="253"/>
      <c r="F51" s="253"/>
      <c r="G51" s="551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1"/>
      <c r="C52" s="253"/>
      <c r="D52" s="253"/>
      <c r="E52" s="253"/>
      <c r="F52" s="253"/>
      <c r="G52" s="551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1"/>
      <c r="C53" s="253"/>
      <c r="D53" s="253"/>
      <c r="E53" s="253"/>
      <c r="F53" s="253"/>
      <c r="G53" s="551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2" t="s">
        <v>194</v>
      </c>
      <c r="B55" s="443"/>
      <c r="C55" s="444">
        <f>SumByColor($A$19,C38:C53)</f>
        <v>0</v>
      </c>
      <c r="D55" s="444"/>
      <c r="E55" s="444"/>
      <c r="F55" s="445">
        <f>SumByColor($A$19,F38:F41)</f>
        <v>0</v>
      </c>
      <c r="G55" s="444"/>
      <c r="H55" s="444">
        <f>SumByColor($A$19,H38:H53)</f>
        <v>0</v>
      </c>
      <c r="I55" s="444"/>
      <c r="J55" s="444"/>
      <c r="K55" s="445">
        <f>SumByColor($A$19,K38:K53)</f>
        <v>0</v>
      </c>
      <c r="L55" s="444"/>
      <c r="M55" s="445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1" priority="57">
      <formula>F27&gt;0</formula>
    </cfRule>
    <cfRule type="expression" dxfId="1040" priority="58">
      <formula>F27&lt;0</formula>
    </cfRule>
  </conditionalFormatting>
  <conditionalFormatting sqref="H28:H33">
    <cfRule type="expression" dxfId="1039" priority="53">
      <formula>H28&gt;0</formula>
    </cfRule>
    <cfRule type="expression" dxfId="1038" priority="54">
      <formula>H28&lt;0</formula>
    </cfRule>
  </conditionalFormatting>
  <conditionalFormatting sqref="F24:F26">
    <cfRule type="expression" dxfId="1037" priority="39">
      <formula>F24&gt;0</formula>
    </cfRule>
    <cfRule type="expression" dxfId="1036" priority="40">
      <formula>F24&lt;0</formula>
    </cfRule>
  </conditionalFormatting>
  <conditionalFormatting sqref="Q8">
    <cfRule type="expression" dxfId="1035" priority="33">
      <formula>Q8&gt;0</formula>
    </cfRule>
    <cfRule type="expression" dxfId="1034" priority="34">
      <formula>Q8&lt;0</formula>
    </cfRule>
  </conditionalFormatting>
  <conditionalFormatting sqref="Q7">
    <cfRule type="expression" dxfId="1033" priority="35">
      <formula>Q7&gt;0</formula>
    </cfRule>
    <cfRule type="expression" dxfId="1032" priority="36">
      <formula>Q7&lt;0</formula>
    </cfRule>
  </conditionalFormatting>
  <conditionalFormatting sqref="F34">
    <cfRule type="expression" dxfId="1031" priority="31">
      <formula>F34&gt;0</formula>
    </cfRule>
    <cfRule type="expression" dxfId="1030" priority="32">
      <formula>F34&lt;0</formula>
    </cfRule>
  </conditionalFormatting>
  <conditionalFormatting sqref="H34">
    <cfRule type="expression" dxfId="1029" priority="29">
      <formula>H34&gt;0</formula>
    </cfRule>
    <cfRule type="expression" dxfId="1028" priority="30">
      <formula>H34&lt;0</formula>
    </cfRule>
  </conditionalFormatting>
  <conditionalFormatting sqref="M36">
    <cfRule type="expression" dxfId="1027" priority="19">
      <formula>M36&gt;0</formula>
    </cfRule>
    <cfRule type="expression" dxfId="1026" priority="20">
      <formula>M36&lt;0</formula>
    </cfRule>
  </conditionalFormatting>
  <conditionalFormatting sqref="Q10">
    <cfRule type="expression" dxfId="1025" priority="15">
      <formula>Q10&gt;0</formula>
    </cfRule>
    <cfRule type="expression" dxfId="1024" priority="16">
      <formula>Q10&lt;0</formula>
    </cfRule>
  </conditionalFormatting>
  <conditionalFormatting sqref="F23">
    <cfRule type="expression" dxfId="1023" priority="13">
      <formula>F23&gt;0</formula>
    </cfRule>
    <cfRule type="expression" dxfId="1022" priority="14">
      <formula>F23&lt;0</formula>
    </cfRule>
  </conditionalFormatting>
  <conditionalFormatting sqref="I25:J25">
    <cfRule type="expression" dxfId="1021" priority="9">
      <formula>I25&gt;0</formula>
    </cfRule>
    <cfRule type="expression" dxfId="1020" priority="10">
      <formula>I25&lt;0</formula>
    </cfRule>
  </conditionalFormatting>
  <conditionalFormatting sqref="I26:J27">
    <cfRule type="expression" dxfId="1019" priority="7">
      <formula>I26&gt;0</formula>
    </cfRule>
    <cfRule type="expression" dxfId="1018" priority="8">
      <formula>I26&lt;0</formula>
    </cfRule>
  </conditionalFormatting>
  <conditionalFormatting sqref="K25:K27">
    <cfRule type="expression" dxfId="1017" priority="5">
      <formula>K25&gt;0</formula>
    </cfRule>
    <cfRule type="expression" dxfId="1016" priority="6">
      <formula>K25&lt;0</formula>
    </cfRule>
  </conditionalFormatting>
  <conditionalFormatting sqref="I23:J23">
    <cfRule type="expression" dxfId="1015" priority="3">
      <formula>I23&gt;0</formula>
    </cfRule>
    <cfRule type="expression" dxfId="101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2"/>
      <c r="U1" s="737" t="s">
        <v>774</v>
      </c>
      <c r="V1" s="737" t="s">
        <v>727</v>
      </c>
      <c r="W1" s="737" t="s">
        <v>955</v>
      </c>
      <c r="X1" s="737" t="s">
        <v>954</v>
      </c>
      <c r="Y1" s="712"/>
      <c r="AC1" s="11" t="s">
        <v>70</v>
      </c>
    </row>
    <row r="2" spans="1:30" x14ac:dyDescent="0.25">
      <c r="A2" s="6" t="s">
        <v>227</v>
      </c>
      <c r="B2" s="437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7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3" t="s">
        <v>775</v>
      </c>
      <c r="U2" s="736">
        <v>42948</v>
      </c>
      <c r="V2" s="736">
        <v>43039</v>
      </c>
      <c r="W2" s="736">
        <v>43150</v>
      </c>
      <c r="X2" s="736"/>
      <c r="Y2" s="680"/>
    </row>
    <row r="3" spans="1:30" x14ac:dyDescent="0.25">
      <c r="A3" s="22" t="s">
        <v>71</v>
      </c>
      <c r="B3" s="437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7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4" t="s">
        <v>722</v>
      </c>
      <c r="U3" s="680"/>
      <c r="V3" s="680"/>
      <c r="W3" s="680"/>
      <c r="X3" s="680"/>
      <c r="Y3" s="680"/>
    </row>
    <row r="4" spans="1:30" x14ac:dyDescent="0.25">
      <c r="B4" s="437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7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24.8399</v>
      </c>
      <c r="R4" s="478">
        <v>8.0000000000000004E-4</v>
      </c>
      <c r="T4" s="715" t="s">
        <v>739</v>
      </c>
      <c r="U4" s="719">
        <v>320</v>
      </c>
      <c r="V4" s="719">
        <v>310</v>
      </c>
      <c r="W4" s="719">
        <v>320</v>
      </c>
      <c r="X4" s="719"/>
      <c r="Y4" s="680"/>
    </row>
    <row r="5" spans="1:30" x14ac:dyDescent="0.25">
      <c r="B5" s="437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7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14903.94</v>
      </c>
      <c r="T5" s="716" t="s">
        <v>732</v>
      </c>
      <c r="U5" s="719">
        <v>340</v>
      </c>
      <c r="V5" s="719">
        <v>330</v>
      </c>
      <c r="W5" s="719">
        <v>350</v>
      </c>
      <c r="X5" s="719"/>
      <c r="Y5" s="680"/>
    </row>
    <row r="6" spans="1:30" x14ac:dyDescent="0.25">
      <c r="B6" s="437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7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7" t="s">
        <v>725</v>
      </c>
      <c r="U6" s="719">
        <v>336</v>
      </c>
      <c r="V6" s="734">
        <v>329</v>
      </c>
      <c r="W6" s="734">
        <v>348</v>
      </c>
      <c r="X6" s="734"/>
      <c r="Y6" s="680"/>
      <c r="AC6" s="158">
        <v>43150</v>
      </c>
      <c r="AD6" t="s">
        <v>82</v>
      </c>
    </row>
    <row r="7" spans="1:30" x14ac:dyDescent="0.25">
      <c r="B7" s="437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7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3219.2300000000123</v>
      </c>
      <c r="R7" s="29">
        <v>43220</v>
      </c>
      <c r="T7" s="717" t="s">
        <v>762</v>
      </c>
      <c r="U7" s="719">
        <v>343</v>
      </c>
      <c r="V7" s="719">
        <v>326</v>
      </c>
      <c r="W7" s="719">
        <v>317</v>
      </c>
      <c r="X7" s="719"/>
      <c r="Y7" s="680"/>
      <c r="AD7" t="s">
        <v>999</v>
      </c>
    </row>
    <row r="8" spans="1:30" x14ac:dyDescent="0.25">
      <c r="B8" s="437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7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1766.9700000000139</v>
      </c>
      <c r="T8" s="717" t="s">
        <v>733</v>
      </c>
      <c r="U8" s="719">
        <v>2.2999999999999998</v>
      </c>
      <c r="V8" s="719">
        <v>2.2000000000000002</v>
      </c>
      <c r="W8" s="719">
        <v>2.2999999999999998</v>
      </c>
      <c r="X8" s="719">
        <v>1.9</v>
      </c>
      <c r="Y8" s="680"/>
    </row>
    <row r="9" spans="1:30" x14ac:dyDescent="0.25">
      <c r="B9" s="437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7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0.13450361841429306</v>
      </c>
      <c r="T9" s="717" t="s">
        <v>734</v>
      </c>
      <c r="U9" s="719">
        <v>2.6</v>
      </c>
      <c r="V9" s="719">
        <v>2.5</v>
      </c>
      <c r="W9" s="719">
        <v>2.6</v>
      </c>
      <c r="X9" s="719">
        <v>2.2000000000000002</v>
      </c>
      <c r="Y9" s="680"/>
    </row>
    <row r="10" spans="1:30" x14ac:dyDescent="0.25">
      <c r="B10" s="437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7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7" t="s">
        <v>751</v>
      </c>
      <c r="U10" s="719">
        <v>2.6</v>
      </c>
      <c r="V10" s="734">
        <v>2.1</v>
      </c>
      <c r="W10" s="734">
        <v>2.5</v>
      </c>
      <c r="X10" s="734"/>
      <c r="Y10" s="680"/>
    </row>
    <row r="11" spans="1:30" x14ac:dyDescent="0.25">
      <c r="B11" s="437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7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4.02578110217835E-3</v>
      </c>
      <c r="R11">
        <f>0.025</f>
        <v>2.5000000000000001E-2</v>
      </c>
      <c r="T11" s="680"/>
      <c r="U11" s="719"/>
      <c r="V11" s="680"/>
      <c r="W11" s="680"/>
      <c r="X11" s="680"/>
      <c r="Y11" s="680"/>
    </row>
    <row r="12" spans="1:30" x14ac:dyDescent="0.25">
      <c r="B12" s="437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7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968</v>
      </c>
      <c r="Q12" s="1" t="s">
        <v>1024</v>
      </c>
      <c r="T12" s="717" t="s">
        <v>728</v>
      </c>
      <c r="U12" s="719"/>
      <c r="V12" s="725">
        <v>7.0000000000000007E-2</v>
      </c>
      <c r="W12" s="725" t="s">
        <v>776</v>
      </c>
      <c r="X12" s="738" t="s">
        <v>958</v>
      </c>
      <c r="Y12" s="680"/>
    </row>
    <row r="13" spans="1:30" x14ac:dyDescent="0.25">
      <c r="B13" s="437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7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997</v>
      </c>
      <c r="Q13">
        <f>Q4/(1.25)</f>
        <v>19.871919999999999</v>
      </c>
      <c r="T13" s="717" t="s">
        <v>735</v>
      </c>
      <c r="U13" s="719"/>
      <c r="V13" s="725">
        <v>0.09</v>
      </c>
      <c r="W13" s="725"/>
      <c r="X13" s="738" t="s">
        <v>959</v>
      </c>
      <c r="Y13" s="680"/>
    </row>
    <row r="14" spans="1:30" x14ac:dyDescent="0.25">
      <c r="B14" s="437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7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7" t="s">
        <v>760</v>
      </c>
      <c r="U14" s="726">
        <v>0.08</v>
      </c>
      <c r="V14" s="735">
        <v>0.09</v>
      </c>
      <c r="W14" s="735">
        <v>0.13</v>
      </c>
      <c r="X14" s="735"/>
      <c r="Y14" s="680"/>
    </row>
    <row r="15" spans="1:30" x14ac:dyDescent="0.25">
      <c r="B15" s="437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7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7" t="s">
        <v>729</v>
      </c>
      <c r="U15" s="719"/>
      <c r="V15" s="680"/>
      <c r="W15" s="680"/>
      <c r="X15" s="680"/>
      <c r="Y15" s="680"/>
    </row>
    <row r="16" spans="1:30" ht="20.25" thickBot="1" x14ac:dyDescent="0.35">
      <c r="A16" t="s">
        <v>799</v>
      </c>
      <c r="B16" s="437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7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7" t="s">
        <v>78</v>
      </c>
      <c r="P16" s="847"/>
      <c r="T16" s="717" t="s">
        <v>730</v>
      </c>
      <c r="U16" s="719"/>
      <c r="V16" s="680"/>
      <c r="W16" s="680"/>
      <c r="X16" s="680"/>
      <c r="Y16" s="680"/>
    </row>
    <row r="17" spans="1:27" ht="15.75" thickTop="1" x14ac:dyDescent="0.25">
      <c r="B17" s="437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7">
        <v>43200</v>
      </c>
      <c r="H17" s="829">
        <v>200</v>
      </c>
      <c r="I17" s="830">
        <v>25.22</v>
      </c>
      <c r="J17" s="830">
        <v>0.12</v>
      </c>
      <c r="K17" s="830">
        <f t="shared" si="1"/>
        <v>5043.88</v>
      </c>
      <c r="O17" s="81">
        <v>1.1000000000000001</v>
      </c>
      <c r="P17" s="81">
        <f>O17*$Q$4</f>
        <v>27.323890000000002</v>
      </c>
      <c r="T17" s="717" t="s">
        <v>953</v>
      </c>
      <c r="U17" s="719">
        <v>76</v>
      </c>
      <c r="V17" s="427">
        <v>67</v>
      </c>
      <c r="W17" s="427">
        <v>133</v>
      </c>
      <c r="X17" s="427"/>
      <c r="Y17" s="680"/>
    </row>
    <row r="18" spans="1:27" x14ac:dyDescent="0.25">
      <c r="B18" s="437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4"/>
      <c r="I18" s="3"/>
      <c r="J18" s="3"/>
      <c r="K18" s="3"/>
      <c r="O18" s="81">
        <v>1.0900000000000001</v>
      </c>
      <c r="P18" s="81">
        <f t="shared" ref="P18:P37" si="4">O18*$Q$4</f>
        <v>27.075491000000003</v>
      </c>
      <c r="T18" s="680"/>
      <c r="U18" s="719"/>
      <c r="V18" s="680"/>
      <c r="W18" s="680"/>
      <c r="X18" s="680"/>
      <c r="Y18" s="680"/>
    </row>
    <row r="19" spans="1:27" x14ac:dyDescent="0.25">
      <c r="A19" t="s">
        <v>799</v>
      </c>
      <c r="B19" s="437">
        <v>43178</v>
      </c>
      <c r="C19" s="831">
        <v>200</v>
      </c>
      <c r="D19" s="830">
        <v>25.28</v>
      </c>
      <c r="E19" s="830">
        <v>-1</v>
      </c>
      <c r="F19" s="830">
        <f t="shared" si="3"/>
        <v>5055</v>
      </c>
      <c r="O19" s="81">
        <v>1.08</v>
      </c>
      <c r="P19" s="81">
        <f t="shared" si="4"/>
        <v>26.827092</v>
      </c>
      <c r="T19" s="717" t="s">
        <v>740</v>
      </c>
      <c r="U19" s="722" t="s">
        <v>743</v>
      </c>
      <c r="V19" s="717" t="s">
        <v>743</v>
      </c>
      <c r="W19" s="717" t="s">
        <v>743</v>
      </c>
      <c r="X19" s="717"/>
      <c r="Y19" s="680"/>
    </row>
    <row r="20" spans="1:27" x14ac:dyDescent="0.25">
      <c r="B20" s="477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26.578693000000001</v>
      </c>
      <c r="T20" s="717" t="s">
        <v>741</v>
      </c>
      <c r="U20" s="725">
        <v>0.84</v>
      </c>
      <c r="V20" s="735">
        <v>0.8</v>
      </c>
      <c r="W20" s="735">
        <v>0.79</v>
      </c>
      <c r="X20" s="735"/>
      <c r="Y20" s="680"/>
    </row>
    <row r="21" spans="1:27" x14ac:dyDescent="0.25">
      <c r="B21" s="477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26.330294000000002</v>
      </c>
      <c r="T21" s="717" t="s">
        <v>762</v>
      </c>
      <c r="U21" s="725">
        <v>0.82</v>
      </c>
      <c r="V21" s="725">
        <v>0.84</v>
      </c>
      <c r="W21" s="725">
        <v>0.84</v>
      </c>
      <c r="X21" s="725"/>
      <c r="Y21" s="680"/>
    </row>
    <row r="22" spans="1:27" x14ac:dyDescent="0.25">
      <c r="B22" s="477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26.081895000000003</v>
      </c>
      <c r="T22" s="724" t="s">
        <v>759</v>
      </c>
      <c r="U22" s="719">
        <v>975</v>
      </c>
      <c r="V22" s="427">
        <v>799</v>
      </c>
      <c r="W22" s="427">
        <v>1000</v>
      </c>
      <c r="X22" s="427"/>
      <c r="Y22" s="680"/>
    </row>
    <row r="23" spans="1:27" x14ac:dyDescent="0.25">
      <c r="B23" s="477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25.833496</v>
      </c>
      <c r="T23" s="680"/>
      <c r="U23" s="719"/>
      <c r="V23" s="680"/>
      <c r="W23" s="680"/>
      <c r="X23" s="680"/>
      <c r="Y23" s="680"/>
    </row>
    <row r="24" spans="1:27" x14ac:dyDescent="0.25">
      <c r="C24" s="4"/>
      <c r="O24" s="81">
        <v>1.03</v>
      </c>
      <c r="P24" s="81">
        <f t="shared" si="4"/>
        <v>25.585097000000001</v>
      </c>
      <c r="T24" s="714" t="s">
        <v>723</v>
      </c>
      <c r="U24" s="719"/>
      <c r="V24" s="680"/>
      <c r="W24" s="680"/>
      <c r="X24" s="680"/>
      <c r="Y24" s="680"/>
    </row>
    <row r="25" spans="1:27" x14ac:dyDescent="0.25">
      <c r="O25" s="81">
        <v>1.02</v>
      </c>
      <c r="P25" s="81">
        <f t="shared" si="4"/>
        <v>25.336698000000002</v>
      </c>
      <c r="T25" s="715" t="s">
        <v>736</v>
      </c>
      <c r="U25" s="719">
        <v>170</v>
      </c>
      <c r="V25" s="719">
        <v>165</v>
      </c>
      <c r="W25" s="719">
        <v>175</v>
      </c>
      <c r="X25" s="719"/>
      <c r="Y25" s="680"/>
    </row>
    <row r="26" spans="1:27" x14ac:dyDescent="0.25">
      <c r="O26" s="81">
        <v>1.01</v>
      </c>
      <c r="P26" s="81">
        <f t="shared" si="4"/>
        <v>25.088298999999999</v>
      </c>
      <c r="T26" s="716" t="s">
        <v>737</v>
      </c>
      <c r="U26" s="719">
        <v>185</v>
      </c>
      <c r="V26" s="719">
        <v>180</v>
      </c>
      <c r="W26" s="719">
        <v>195</v>
      </c>
      <c r="X26" s="719"/>
      <c r="Y26" s="680"/>
      <c r="AA26" s="2"/>
    </row>
    <row r="27" spans="1:27" x14ac:dyDescent="0.25">
      <c r="O27" s="81">
        <v>1</v>
      </c>
      <c r="P27" s="81">
        <f t="shared" si="4"/>
        <v>24.8399</v>
      </c>
      <c r="T27" s="717" t="s">
        <v>725</v>
      </c>
      <c r="U27" s="719">
        <v>179</v>
      </c>
      <c r="V27" s="734">
        <v>182</v>
      </c>
      <c r="W27" s="734">
        <v>188</v>
      </c>
      <c r="X27" s="734"/>
      <c r="Y27" s="680"/>
      <c r="AA27" s="2"/>
    </row>
    <row r="28" spans="1:27" x14ac:dyDescent="0.25">
      <c r="O28" s="81">
        <v>0.99</v>
      </c>
      <c r="P28" s="81">
        <f t="shared" si="4"/>
        <v>24.591501000000001</v>
      </c>
      <c r="T28" s="717" t="s">
        <v>762</v>
      </c>
      <c r="U28" s="719">
        <v>178</v>
      </c>
      <c r="V28" s="719">
        <v>160</v>
      </c>
      <c r="W28" s="719">
        <v>169</v>
      </c>
      <c r="X28" s="719"/>
      <c r="Y28" s="680"/>
      <c r="Z28" s="2"/>
      <c r="AA28" s="2"/>
    </row>
    <row r="29" spans="1:27" x14ac:dyDescent="0.25">
      <c r="O29" s="81">
        <v>0.98</v>
      </c>
      <c r="P29" s="81">
        <f t="shared" si="4"/>
        <v>24.343101999999998</v>
      </c>
      <c r="T29" s="717" t="s">
        <v>733</v>
      </c>
      <c r="U29" s="719">
        <v>2</v>
      </c>
      <c r="V29" s="719">
        <v>1.9</v>
      </c>
      <c r="W29" s="719">
        <v>1.9</v>
      </c>
      <c r="X29" s="719">
        <v>1.7</v>
      </c>
      <c r="Y29" s="680"/>
      <c r="Z29" s="2"/>
      <c r="AA29" s="2"/>
    </row>
    <row r="30" spans="1:27" x14ac:dyDescent="0.25">
      <c r="O30" s="81">
        <v>0.97</v>
      </c>
      <c r="P30" s="81">
        <f t="shared" si="4"/>
        <v>24.094702999999999</v>
      </c>
      <c r="T30" s="717" t="s">
        <v>734</v>
      </c>
      <c r="U30" s="719">
        <v>2.2999999999999998</v>
      </c>
      <c r="V30" s="719">
        <v>2.2000000000000002</v>
      </c>
      <c r="W30" s="719">
        <v>2.2000000000000002</v>
      </c>
      <c r="X30" s="719">
        <v>2</v>
      </c>
      <c r="Y30" s="680"/>
      <c r="Z30" s="2"/>
      <c r="AA30" s="2"/>
    </row>
    <row r="31" spans="1:27" x14ac:dyDescent="0.25">
      <c r="O31" s="81">
        <v>0.96</v>
      </c>
      <c r="P31" s="81">
        <f t="shared" si="4"/>
        <v>23.846304</v>
      </c>
      <c r="T31" s="717" t="s">
        <v>726</v>
      </c>
      <c r="U31" s="719">
        <v>2.2000000000000002</v>
      </c>
      <c r="V31" s="734">
        <v>2.2000000000000002</v>
      </c>
      <c r="W31" s="734">
        <v>2.2000000000000002</v>
      </c>
      <c r="X31" s="734"/>
      <c r="Y31" s="680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SUM(H2:H17)</f>
        <v>2350</v>
      </c>
      <c r="I32" s="18"/>
      <c r="J32" s="18"/>
      <c r="K32" s="18">
        <f>SUM(K2:K17)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23.597904999999997</v>
      </c>
      <c r="T32" s="680"/>
      <c r="U32" s="719"/>
      <c r="V32" s="680"/>
      <c r="W32" s="680"/>
      <c r="X32" s="680"/>
      <c r="Y32" s="680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23.349505999999998</v>
      </c>
      <c r="T33" s="717" t="s">
        <v>728</v>
      </c>
      <c r="U33" s="719"/>
      <c r="V33" s="725">
        <v>0.15</v>
      </c>
      <c r="W33" s="738" t="s">
        <v>777</v>
      </c>
      <c r="X33" s="738" t="s">
        <v>956</v>
      </c>
      <c r="Y33" s="680"/>
    </row>
    <row r="34" spans="1:26" x14ac:dyDescent="0.25">
      <c r="O34" s="81">
        <v>0.93</v>
      </c>
      <c r="P34" s="81">
        <f t="shared" si="4"/>
        <v>23.101107000000003</v>
      </c>
      <c r="T34" s="717" t="s">
        <v>735</v>
      </c>
      <c r="U34" s="719"/>
      <c r="V34" s="725">
        <v>0.18</v>
      </c>
      <c r="W34" s="725"/>
      <c r="X34" s="738" t="s">
        <v>957</v>
      </c>
      <c r="Y34" s="680"/>
      <c r="Z34" s="2"/>
    </row>
    <row r="35" spans="1:26" x14ac:dyDescent="0.25">
      <c r="O35" s="81">
        <v>0.92</v>
      </c>
      <c r="P35" s="81">
        <f t="shared" si="4"/>
        <v>22.852708</v>
      </c>
      <c r="T35" s="717" t="s">
        <v>760</v>
      </c>
      <c r="U35" s="725">
        <v>0.23</v>
      </c>
      <c r="V35" s="735">
        <v>0.21</v>
      </c>
      <c r="W35" s="735">
        <v>0.23</v>
      </c>
      <c r="X35" s="735"/>
      <c r="Y35" s="680"/>
    </row>
    <row r="36" spans="1:26" x14ac:dyDescent="0.25">
      <c r="B36" s="487" t="s">
        <v>113</v>
      </c>
      <c r="C36" s="487" t="s">
        <v>146</v>
      </c>
      <c r="D36" s="488" t="s">
        <v>145</v>
      </c>
      <c r="E36" s="489" t="s">
        <v>147</v>
      </c>
      <c r="F36" s="489" t="s">
        <v>65</v>
      </c>
      <c r="G36" s="491" t="s">
        <v>151</v>
      </c>
      <c r="H36" s="491" t="s">
        <v>88</v>
      </c>
      <c r="I36" s="491" t="s">
        <v>154</v>
      </c>
      <c r="J36" s="491" t="s">
        <v>504</v>
      </c>
      <c r="K36" s="491" t="s">
        <v>150</v>
      </c>
      <c r="L36" s="491" t="s">
        <v>997</v>
      </c>
      <c r="O36" s="81">
        <v>0.91</v>
      </c>
      <c r="P36" s="81">
        <f t="shared" si="4"/>
        <v>22.604309000000001</v>
      </c>
      <c r="T36" s="717" t="s">
        <v>729</v>
      </c>
      <c r="U36" s="719"/>
      <c r="V36" s="680"/>
      <c r="W36" s="680"/>
      <c r="X36" s="680"/>
      <c r="Y36" s="680"/>
    </row>
    <row r="37" spans="1:26" x14ac:dyDescent="0.25">
      <c r="B37" s="526">
        <v>42754</v>
      </c>
      <c r="C37" s="530">
        <v>100</v>
      </c>
      <c r="D37" s="531">
        <v>27.58</v>
      </c>
      <c r="E37" s="531">
        <v>30.25</v>
      </c>
      <c r="F37" s="531">
        <f t="shared" ref="F37:F42" si="5">C37*(E37-D37)</f>
        <v>267.00000000000017</v>
      </c>
      <c r="G37" s="531">
        <f t="shared" ref="G37:G42" si="6">D37*C37</f>
        <v>2758</v>
      </c>
      <c r="H37" s="572">
        <f t="shared" ref="H37:H42" si="7">(E37-D37)/D37</f>
        <v>9.6809282088469978E-2</v>
      </c>
      <c r="I37" s="531"/>
      <c r="J37" s="531"/>
      <c r="K37" s="531"/>
      <c r="L37" s="531"/>
      <c r="O37" s="81">
        <v>0.9</v>
      </c>
      <c r="P37" s="81">
        <f t="shared" si="4"/>
        <v>22.355910000000002</v>
      </c>
      <c r="T37" s="717" t="s">
        <v>730</v>
      </c>
      <c r="U37" s="719"/>
      <c r="V37" s="680"/>
      <c r="W37" s="680"/>
      <c r="X37" s="680"/>
      <c r="Y37" s="680"/>
    </row>
    <row r="38" spans="1:26" x14ac:dyDescent="0.25">
      <c r="B38" s="526">
        <v>42758</v>
      </c>
      <c r="C38" s="530">
        <v>100</v>
      </c>
      <c r="D38" s="531">
        <v>27.180700000000002</v>
      </c>
      <c r="E38" s="531">
        <v>31.55</v>
      </c>
      <c r="F38" s="531">
        <f t="shared" si="5"/>
        <v>436.92999999999989</v>
      </c>
      <c r="G38" s="531">
        <f t="shared" si="6"/>
        <v>2718.07</v>
      </c>
      <c r="H38" s="572">
        <f t="shared" si="7"/>
        <v>0.16075009105725749</v>
      </c>
      <c r="I38" s="531"/>
      <c r="J38" s="531"/>
      <c r="K38" s="531"/>
      <c r="L38" s="531"/>
      <c r="T38" s="717" t="s">
        <v>761</v>
      </c>
      <c r="U38" s="719">
        <v>110</v>
      </c>
      <c r="V38" s="427">
        <v>99</v>
      </c>
      <c r="W38" s="427">
        <v>114</v>
      </c>
      <c r="X38" s="427"/>
      <c r="Y38" s="680"/>
    </row>
    <row r="39" spans="1:26" x14ac:dyDescent="0.25">
      <c r="A39" t="s">
        <v>352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17" t="s">
        <v>740</v>
      </c>
      <c r="U39" s="722" t="s">
        <v>752</v>
      </c>
      <c r="V39" s="717" t="s">
        <v>743</v>
      </c>
      <c r="W39" s="717" t="s">
        <v>778</v>
      </c>
      <c r="X39" s="717"/>
      <c r="Y39" s="680"/>
    </row>
    <row r="40" spans="1:26" x14ac:dyDescent="0.25">
      <c r="A40" t="s">
        <v>352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17" t="s">
        <v>741</v>
      </c>
      <c r="U40" s="725">
        <v>0.93</v>
      </c>
      <c r="V40" s="735">
        <v>0.87</v>
      </c>
      <c r="W40" s="735">
        <v>0.87</v>
      </c>
      <c r="X40" s="735"/>
      <c r="Y40" s="680"/>
    </row>
    <row r="41" spans="1:26" x14ac:dyDescent="0.25">
      <c r="A41" t="s">
        <v>341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0"/>
      <c r="U41" s="719"/>
      <c r="V41" s="680"/>
      <c r="W41" s="680"/>
      <c r="X41" s="680"/>
      <c r="Y41" s="680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4" t="s">
        <v>759</v>
      </c>
      <c r="U42" s="719">
        <v>468</v>
      </c>
      <c r="V42" s="427">
        <v>474</v>
      </c>
      <c r="W42" s="427">
        <v>496</v>
      </c>
      <c r="X42" s="427"/>
      <c r="Y42" s="680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0"/>
      <c r="U43" s="719"/>
      <c r="V43" s="680"/>
      <c r="W43" s="680"/>
      <c r="X43" s="680"/>
      <c r="Y43" s="680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4" t="s">
        <v>724</v>
      </c>
      <c r="U44" s="719"/>
      <c r="V44" s="680"/>
      <c r="W44" s="680"/>
      <c r="X44" s="680"/>
      <c r="Y44" s="680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7" t="s">
        <v>733</v>
      </c>
      <c r="U45" s="719">
        <v>1.4</v>
      </c>
      <c r="V45" s="719">
        <v>2.2999999999999998</v>
      </c>
      <c r="W45" s="719">
        <v>1.5</v>
      </c>
      <c r="X45" s="719">
        <v>1.4</v>
      </c>
      <c r="Y45" s="680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17" t="s">
        <v>734</v>
      </c>
      <c r="U46" s="719">
        <v>1.7</v>
      </c>
      <c r="V46" s="719">
        <v>2.6</v>
      </c>
      <c r="W46" s="719">
        <v>1.8</v>
      </c>
      <c r="X46" s="719">
        <v>1.7</v>
      </c>
      <c r="Y46" s="680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17" t="s">
        <v>726</v>
      </c>
      <c r="U47" s="719">
        <v>1.6</v>
      </c>
      <c r="V47" s="734">
        <v>2.5</v>
      </c>
      <c r="W47" s="734">
        <v>1.9</v>
      </c>
      <c r="X47" s="734"/>
      <c r="Y47" s="680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0"/>
      <c r="U48" s="719"/>
      <c r="V48" s="680"/>
      <c r="W48" s="680"/>
      <c r="X48" s="680"/>
      <c r="Y48" s="680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17" t="s">
        <v>731</v>
      </c>
      <c r="U49" s="719">
        <v>20</v>
      </c>
      <c r="V49" s="717" t="s">
        <v>767</v>
      </c>
      <c r="W49" s="722">
        <v>20</v>
      </c>
      <c r="X49" s="722">
        <v>25</v>
      </c>
      <c r="Y49" s="680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17" t="s">
        <v>738</v>
      </c>
      <c r="U50" s="719"/>
      <c r="V50" s="680"/>
      <c r="W50" s="680"/>
      <c r="X50" s="722">
        <v>35</v>
      </c>
      <c r="Y50" s="680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17" t="s">
        <v>763</v>
      </c>
      <c r="U51" s="719">
        <v>24</v>
      </c>
      <c r="V51" s="734">
        <v>25</v>
      </c>
      <c r="W51" s="734">
        <v>24</v>
      </c>
      <c r="X51" s="734"/>
      <c r="Y51" s="680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4"/>
      <c r="U52" s="720"/>
      <c r="V52" s="680"/>
      <c r="W52" s="680"/>
      <c r="X52" s="680"/>
      <c r="Y52" s="680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17" t="s">
        <v>761</v>
      </c>
      <c r="U53" s="721">
        <v>39</v>
      </c>
      <c r="V53" s="427">
        <v>64</v>
      </c>
      <c r="W53" s="427">
        <v>45</v>
      </c>
      <c r="X53" s="427"/>
      <c r="Y53" s="680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17" t="s">
        <v>764</v>
      </c>
      <c r="U54" s="727">
        <f>U53/U57</f>
        <v>6.6895368782161235E-2</v>
      </c>
      <c r="V54" s="727">
        <f>V53/V57</f>
        <v>6.8743286788399569E-2</v>
      </c>
      <c r="W54" s="727">
        <f>W53/W57</f>
        <v>6.311360448807854E-2</v>
      </c>
      <c r="X54" s="727"/>
      <c r="Y54" s="680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17" t="s">
        <v>765</v>
      </c>
      <c r="U55" s="719">
        <v>356</v>
      </c>
      <c r="V55" s="734">
        <v>366</v>
      </c>
      <c r="W55" s="734">
        <v>370</v>
      </c>
      <c r="X55" s="734"/>
      <c r="Y55" s="680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28" t="s">
        <v>766</v>
      </c>
      <c r="U56" s="719">
        <v>374</v>
      </c>
      <c r="V56" s="719">
        <v>380</v>
      </c>
      <c r="W56" s="719">
        <v>354</v>
      </c>
      <c r="X56" s="719"/>
      <c r="Y56" s="680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4" t="s">
        <v>759</v>
      </c>
      <c r="U57" s="721">
        <v>583</v>
      </c>
      <c r="V57" s="427">
        <v>931</v>
      </c>
      <c r="W57" s="427">
        <v>713</v>
      </c>
      <c r="X57" s="427"/>
      <c r="Y57" s="680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17"/>
      <c r="U58" s="721"/>
      <c r="V58" s="680"/>
      <c r="W58" s="680"/>
      <c r="X58" s="680"/>
      <c r="Y58" s="680"/>
    </row>
    <row r="59" spans="1:25" x14ac:dyDescent="0.25">
      <c r="A59">
        <v>700</v>
      </c>
      <c r="B59" s="187">
        <v>42984</v>
      </c>
      <c r="C59" s="428">
        <v>800</v>
      </c>
      <c r="D59" s="429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7"/>
      <c r="U59" s="721"/>
      <c r="V59" s="680"/>
      <c r="W59" s="680"/>
      <c r="X59" s="680"/>
      <c r="Y59" s="680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8"/>
      <c r="U60" s="721"/>
      <c r="V60" s="680"/>
      <c r="W60" s="680"/>
      <c r="X60" s="680"/>
      <c r="Y60" s="680"/>
    </row>
    <row r="61" spans="1:25" x14ac:dyDescent="0.25">
      <c r="A61">
        <v>700</v>
      </c>
      <c r="B61" s="187">
        <v>42999</v>
      </c>
      <c r="C61" s="428">
        <v>800</v>
      </c>
      <c r="D61" s="429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17"/>
      <c r="U61" s="721"/>
      <c r="V61" s="680"/>
      <c r="W61" s="680"/>
      <c r="X61" s="680"/>
      <c r="Y61" s="680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18" t="s">
        <v>756</v>
      </c>
      <c r="U62" s="721">
        <v>95</v>
      </c>
      <c r="V62" s="680">
        <v>213.9</v>
      </c>
      <c r="W62" s="680">
        <v>127.1</v>
      </c>
      <c r="X62" s="680"/>
      <c r="Y62" s="680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18" t="s">
        <v>754</v>
      </c>
      <c r="U63" s="721">
        <v>97</v>
      </c>
      <c r="V63" s="680">
        <v>227.5</v>
      </c>
      <c r="W63" s="680">
        <v>-429.8</v>
      </c>
      <c r="X63" s="680"/>
      <c r="Y63" s="680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8" t="s">
        <v>753</v>
      </c>
      <c r="U64" s="721">
        <v>0.28000000000000003</v>
      </c>
      <c r="V64" s="680">
        <v>0.65</v>
      </c>
      <c r="W64" s="680">
        <v>-1.23</v>
      </c>
      <c r="X64" s="680"/>
      <c r="Y64" s="680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18" t="s">
        <v>960</v>
      </c>
      <c r="U65" s="721"/>
      <c r="V65" s="680"/>
      <c r="W65" s="680">
        <v>0.34</v>
      </c>
      <c r="X65" s="680"/>
      <c r="Y65" s="680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18" t="s">
        <v>755</v>
      </c>
      <c r="U66" s="721">
        <v>1.8</v>
      </c>
      <c r="V66" s="680">
        <v>1.98</v>
      </c>
      <c r="W66" s="680">
        <v>2.09</v>
      </c>
      <c r="X66" s="680"/>
      <c r="Y66" s="680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18"/>
      <c r="U67" s="721"/>
      <c r="V67" s="680"/>
      <c r="W67" s="680"/>
      <c r="X67" s="680"/>
      <c r="Y67" s="680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2" t="s">
        <v>847</v>
      </c>
      <c r="J68" s="39"/>
      <c r="K68" s="39">
        <v>2972</v>
      </c>
      <c r="L68" s="39"/>
      <c r="T68" s="718" t="s">
        <v>757</v>
      </c>
      <c r="U68" s="721">
        <v>661</v>
      </c>
      <c r="V68" s="680">
        <v>726.4</v>
      </c>
      <c r="W68" s="680">
        <v>2194.4</v>
      </c>
      <c r="X68" s="680"/>
      <c r="Y68" s="680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18" t="s">
        <v>758</v>
      </c>
      <c r="U69" s="721">
        <v>3.8</v>
      </c>
      <c r="V69" s="680">
        <v>3.72</v>
      </c>
      <c r="W69" s="680">
        <v>4.88</v>
      </c>
      <c r="X69" s="680"/>
      <c r="Y69" s="680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17"/>
      <c r="U70" s="721"/>
      <c r="V70" s="680"/>
      <c r="W70" s="680"/>
      <c r="X70" s="680"/>
      <c r="Y70" s="680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17"/>
      <c r="U71" s="721"/>
      <c r="V71" s="680"/>
      <c r="W71" s="680"/>
      <c r="X71" s="680"/>
      <c r="Y71" s="680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17"/>
      <c r="U72" s="721"/>
      <c r="V72" s="680"/>
      <c r="W72" s="680"/>
      <c r="X72" s="680"/>
      <c r="Y72" s="680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745</v>
      </c>
      <c r="T76" s="22" t="s">
        <v>744</v>
      </c>
    </row>
    <row r="77" spans="1:28" x14ac:dyDescent="0.25">
      <c r="B77" s="187">
        <v>43140</v>
      </c>
      <c r="C77" s="428">
        <v>800</v>
      </c>
      <c r="D77" s="429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3" t="s">
        <v>113</v>
      </c>
      <c r="U80" s="683" t="s">
        <v>699</v>
      </c>
      <c r="V80" s="683" t="s">
        <v>700</v>
      </c>
      <c r="W80" s="681" t="s">
        <v>693</v>
      </c>
      <c r="X80" s="681" t="s">
        <v>694</v>
      </c>
      <c r="Y80" s="683" t="s">
        <v>696</v>
      </c>
      <c r="Z80" s="683" t="s">
        <v>697</v>
      </c>
      <c r="AA80" s="681" t="s">
        <v>695</v>
      </c>
      <c r="AB80" s="682" t="s">
        <v>698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2" t="s">
        <v>961</v>
      </c>
      <c r="J81" s="39"/>
      <c r="K81" s="39">
        <v>3433</v>
      </c>
      <c r="L81" s="39"/>
      <c r="T81" s="684">
        <v>43046</v>
      </c>
      <c r="U81" s="680"/>
      <c r="V81" s="680"/>
      <c r="W81" s="679"/>
      <c r="X81" s="679"/>
      <c r="Y81" s="680"/>
      <c r="Z81" s="680"/>
      <c r="AA81" s="677"/>
      <c r="AB81" s="678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3"/>
      <c r="U82" s="680"/>
      <c r="V82" s="680"/>
      <c r="W82" s="679"/>
      <c r="X82" s="677"/>
      <c r="Y82" s="680"/>
      <c r="Z82" s="680"/>
      <c r="AA82" s="677"/>
      <c r="AB82" s="678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5"/>
      <c r="U83" s="680"/>
      <c r="V83" s="680"/>
      <c r="W83" s="677"/>
      <c r="X83" s="677"/>
      <c r="Y83" s="680"/>
      <c r="Z83" s="680"/>
      <c r="AA83" s="677"/>
      <c r="AB83" s="678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5"/>
      <c r="U84" s="680"/>
      <c r="V84" s="680"/>
      <c r="W84" s="677"/>
      <c r="X84" s="677"/>
      <c r="Y84" s="680"/>
      <c r="Z84" s="680"/>
      <c r="AA84" s="677"/>
      <c r="AB84" s="678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5"/>
      <c r="U85" s="680"/>
      <c r="V85" s="680"/>
      <c r="W85" s="677"/>
      <c r="X85" s="677"/>
      <c r="Y85" s="680"/>
      <c r="Z85" s="680"/>
      <c r="AA85" s="677"/>
      <c r="AB85" s="678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5"/>
      <c r="U86" s="680"/>
      <c r="V86" s="680"/>
      <c r="W86" s="677"/>
      <c r="X86" s="677"/>
      <c r="Y86" s="680"/>
      <c r="Z86" s="680"/>
      <c r="AA86" s="677"/>
      <c r="AB86" s="678"/>
    </row>
    <row r="87" spans="1:28" x14ac:dyDescent="0.25">
      <c r="A87">
        <v>400</v>
      </c>
      <c r="B87" s="187">
        <v>43187</v>
      </c>
      <c r="C87" s="428">
        <v>800</v>
      </c>
      <c r="D87" s="429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2" t="s">
        <v>989</v>
      </c>
      <c r="J87" s="39"/>
      <c r="K87" s="39">
        <v>1817</v>
      </c>
      <c r="L87" s="39"/>
      <c r="T87" s="685"/>
      <c r="U87" s="680"/>
      <c r="V87" s="680"/>
      <c r="W87" s="677"/>
      <c r="X87" s="677"/>
      <c r="Y87" s="680"/>
      <c r="Z87" s="680"/>
      <c r="AA87" s="677"/>
      <c r="AB87" s="678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5"/>
      <c r="U88" s="680"/>
      <c r="V88" s="680"/>
      <c r="W88" s="677"/>
      <c r="X88" s="677"/>
      <c r="Y88" s="680"/>
      <c r="Z88" s="680"/>
      <c r="AA88" s="677"/>
      <c r="AB88" s="678"/>
    </row>
    <row r="89" spans="1:28" x14ac:dyDescent="0.25">
      <c r="A89">
        <v>200</v>
      </c>
      <c r="B89" s="187">
        <v>43192</v>
      </c>
      <c r="C89" s="428">
        <v>800</v>
      </c>
      <c r="D89" s="429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5"/>
      <c r="U89" s="680"/>
      <c r="V89" s="680"/>
      <c r="W89" s="677"/>
      <c r="X89" s="677"/>
      <c r="Y89" s="680"/>
      <c r="Z89" s="680"/>
      <c r="AA89" s="677"/>
      <c r="AB89" s="678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2" t="s">
        <v>991</v>
      </c>
      <c r="J90" s="39"/>
      <c r="K90" s="39">
        <v>3240</v>
      </c>
      <c r="L90" s="39"/>
      <c r="T90" s="685"/>
      <c r="U90" s="680"/>
      <c r="V90" s="680"/>
      <c r="W90" s="677"/>
      <c r="X90" s="677"/>
      <c r="Y90" s="680"/>
      <c r="Z90" s="680"/>
      <c r="AA90" s="677"/>
      <c r="AB90" s="678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5"/>
      <c r="U91" s="680"/>
      <c r="V91" s="680"/>
      <c r="W91" s="677"/>
      <c r="X91" s="677"/>
      <c r="Y91" s="680"/>
      <c r="Z91" s="680"/>
      <c r="AA91" s="677"/>
      <c r="AB91" s="678"/>
    </row>
    <row r="92" spans="1:28" x14ac:dyDescent="0.25">
      <c r="A92">
        <v>0</v>
      </c>
      <c r="B92" s="187">
        <v>43196</v>
      </c>
      <c r="C92" s="428">
        <v>800</v>
      </c>
      <c r="D92" s="429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39"/>
    </row>
    <row r="95" spans="1:28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87" t="s">
        <v>113</v>
      </c>
      <c r="C100" s="487" t="s">
        <v>146</v>
      </c>
      <c r="D100" s="488" t="s">
        <v>145</v>
      </c>
      <c r="E100" s="489" t="s">
        <v>147</v>
      </c>
      <c r="F100" s="489" t="s">
        <v>65</v>
      </c>
      <c r="G100" s="491" t="s">
        <v>151</v>
      </c>
      <c r="H100" s="491" t="s">
        <v>88</v>
      </c>
      <c r="I100" s="491" t="s">
        <v>154</v>
      </c>
    </row>
    <row r="101" spans="2:12" x14ac:dyDescent="0.25">
      <c r="B101" s="364">
        <v>42548</v>
      </c>
      <c r="C101" s="365">
        <v>100</v>
      </c>
      <c r="D101" s="366">
        <v>25</v>
      </c>
      <c r="E101" s="366">
        <v>24.69</v>
      </c>
      <c r="F101" s="366">
        <f t="shared" ref="F101:F106" si="44">C101*(E101-D101)</f>
        <v>-30.999999999999872</v>
      </c>
      <c r="G101" s="366">
        <f t="shared" ref="G101:G106" si="45">D101*C101</f>
        <v>2500</v>
      </c>
      <c r="H101" s="367">
        <f t="shared" ref="H101:H106" si="46">(E101-D101)/D101</f>
        <v>-1.2399999999999949E-2</v>
      </c>
      <c r="I101" s="366"/>
    </row>
    <row r="102" spans="2:12" x14ac:dyDescent="0.25">
      <c r="B102" s="364">
        <v>42549</v>
      </c>
      <c r="C102" s="365">
        <v>100</v>
      </c>
      <c r="D102" s="366">
        <v>25</v>
      </c>
      <c r="E102" s="366">
        <v>25.26</v>
      </c>
      <c r="F102" s="366">
        <f t="shared" si="44"/>
        <v>26.000000000000156</v>
      </c>
      <c r="G102" s="366">
        <f t="shared" si="45"/>
        <v>2500</v>
      </c>
      <c r="H102" s="367">
        <f t="shared" si="46"/>
        <v>1.0400000000000062E-2</v>
      </c>
      <c r="I102" s="366"/>
    </row>
    <row r="103" spans="2:12" x14ac:dyDescent="0.25">
      <c r="B103" s="364">
        <v>42552</v>
      </c>
      <c r="C103" s="365">
        <v>100</v>
      </c>
      <c r="D103" s="366">
        <v>25</v>
      </c>
      <c r="E103" s="366">
        <v>26.57</v>
      </c>
      <c r="F103" s="366">
        <f t="shared" si="44"/>
        <v>157.00000000000003</v>
      </c>
      <c r="G103" s="366">
        <f t="shared" si="45"/>
        <v>2500</v>
      </c>
      <c r="H103" s="367">
        <f t="shared" si="46"/>
        <v>6.2800000000000009E-2</v>
      </c>
      <c r="I103" s="366"/>
    </row>
    <row r="104" spans="2:12" x14ac:dyDescent="0.25">
      <c r="B104" s="364">
        <v>42556</v>
      </c>
      <c r="C104" s="365">
        <v>100</v>
      </c>
      <c r="D104" s="366">
        <v>25</v>
      </c>
      <c r="E104" s="366">
        <v>25.47</v>
      </c>
      <c r="F104" s="366">
        <f t="shared" si="44"/>
        <v>46.999999999999886</v>
      </c>
      <c r="G104" s="366">
        <f t="shared" si="45"/>
        <v>2500</v>
      </c>
      <c r="H104" s="367">
        <f t="shared" si="46"/>
        <v>1.8799999999999956E-2</v>
      </c>
      <c r="I104" s="366"/>
    </row>
    <row r="105" spans="2:12" x14ac:dyDescent="0.25">
      <c r="B105" s="364">
        <v>42562</v>
      </c>
      <c r="C105" s="365">
        <v>100</v>
      </c>
      <c r="D105" s="366">
        <v>25</v>
      </c>
      <c r="E105" s="366">
        <v>25.69</v>
      </c>
      <c r="F105" s="366">
        <f t="shared" si="44"/>
        <v>69.000000000000128</v>
      </c>
      <c r="G105" s="366">
        <f t="shared" si="45"/>
        <v>2500</v>
      </c>
      <c r="H105" s="367">
        <f t="shared" si="46"/>
        <v>2.7600000000000052E-2</v>
      </c>
      <c r="I105" s="366"/>
    </row>
    <row r="106" spans="2:12" x14ac:dyDescent="0.25">
      <c r="B106" s="364">
        <v>42563</v>
      </c>
      <c r="C106" s="365">
        <v>100</v>
      </c>
      <c r="D106" s="366">
        <v>25</v>
      </c>
      <c r="E106" s="366">
        <v>26.48</v>
      </c>
      <c r="F106" s="366">
        <f t="shared" si="44"/>
        <v>148.00000000000006</v>
      </c>
      <c r="G106" s="366">
        <f t="shared" si="45"/>
        <v>2500</v>
      </c>
      <c r="H106" s="367">
        <f t="shared" si="46"/>
        <v>5.9200000000000016E-2</v>
      </c>
      <c r="I106" s="366"/>
    </row>
    <row r="107" spans="2:12" x14ac:dyDescent="0.25">
      <c r="B107" s="364">
        <v>42569</v>
      </c>
      <c r="C107" s="365">
        <v>100</v>
      </c>
      <c r="D107" s="366">
        <v>25</v>
      </c>
      <c r="E107" s="366">
        <v>29.28</v>
      </c>
      <c r="F107" s="366">
        <f t="shared" ref="F107:F113" si="47">C107*(E107-D107)</f>
        <v>428.00000000000011</v>
      </c>
      <c r="G107" s="366">
        <f t="shared" ref="G107:G113" si="48">D107*C107</f>
        <v>2500</v>
      </c>
      <c r="H107" s="367">
        <f t="shared" ref="H107:H113" si="49">(E107-D107)/D107</f>
        <v>0.17120000000000005</v>
      </c>
      <c r="I107" s="366"/>
    </row>
    <row r="108" spans="2:12" x14ac:dyDescent="0.25">
      <c r="B108" s="364">
        <v>42570</v>
      </c>
      <c r="C108" s="365">
        <v>100</v>
      </c>
      <c r="D108" s="366">
        <v>25</v>
      </c>
      <c r="E108" s="366">
        <v>28.68</v>
      </c>
      <c r="F108" s="366">
        <f t="shared" si="47"/>
        <v>368</v>
      </c>
      <c r="G108" s="366">
        <f t="shared" si="48"/>
        <v>2500</v>
      </c>
      <c r="H108" s="367">
        <f t="shared" si="49"/>
        <v>0.1472</v>
      </c>
      <c r="I108" s="366"/>
    </row>
    <row r="109" spans="2:12" x14ac:dyDescent="0.25">
      <c r="B109" s="364">
        <v>42571</v>
      </c>
      <c r="C109" s="365">
        <v>100</v>
      </c>
      <c r="D109" s="366">
        <v>25</v>
      </c>
      <c r="E109" s="366">
        <v>29.01</v>
      </c>
      <c r="F109" s="366">
        <f t="shared" si="47"/>
        <v>401.00000000000017</v>
      </c>
      <c r="G109" s="366">
        <f t="shared" si="48"/>
        <v>2500</v>
      </c>
      <c r="H109" s="367">
        <f t="shared" si="49"/>
        <v>0.16040000000000007</v>
      </c>
      <c r="I109" s="366"/>
    </row>
    <row r="110" spans="2:12" x14ac:dyDescent="0.25">
      <c r="B110" s="364">
        <v>42572</v>
      </c>
      <c r="C110" s="365">
        <v>100</v>
      </c>
      <c r="D110" s="366">
        <v>25</v>
      </c>
      <c r="E110" s="366">
        <v>28.89</v>
      </c>
      <c r="F110" s="366">
        <f t="shared" si="47"/>
        <v>389.00000000000006</v>
      </c>
      <c r="G110" s="366">
        <f t="shared" si="48"/>
        <v>2500</v>
      </c>
      <c r="H110" s="367">
        <f t="shared" si="49"/>
        <v>0.15560000000000002</v>
      </c>
      <c r="I110" s="366"/>
    </row>
    <row r="111" spans="2:12" x14ac:dyDescent="0.25">
      <c r="B111" s="364">
        <v>42576</v>
      </c>
      <c r="C111" s="365">
        <v>100</v>
      </c>
      <c r="D111" s="366">
        <v>25</v>
      </c>
      <c r="E111" s="366">
        <v>28.63</v>
      </c>
      <c r="F111" s="366">
        <f t="shared" si="47"/>
        <v>362.99999999999989</v>
      </c>
      <c r="G111" s="366">
        <f t="shared" si="48"/>
        <v>2500</v>
      </c>
      <c r="H111" s="367">
        <f t="shared" si="49"/>
        <v>0.14519999999999997</v>
      </c>
      <c r="I111" s="366"/>
    </row>
    <row r="112" spans="2:12" x14ac:dyDescent="0.25">
      <c r="B112" s="364">
        <v>42577</v>
      </c>
      <c r="C112" s="365">
        <v>100</v>
      </c>
      <c r="D112" s="366">
        <v>25</v>
      </c>
      <c r="E112" s="366">
        <v>29.34</v>
      </c>
      <c r="F112" s="366">
        <f t="shared" si="47"/>
        <v>434</v>
      </c>
      <c r="G112" s="366">
        <f t="shared" si="48"/>
        <v>2500</v>
      </c>
      <c r="H112" s="367">
        <f t="shared" si="49"/>
        <v>0.1736</v>
      </c>
      <c r="I112" s="366"/>
    </row>
    <row r="113" spans="2:9" x14ac:dyDescent="0.25">
      <c r="B113" s="364">
        <v>42580</v>
      </c>
      <c r="C113" s="365">
        <v>100</v>
      </c>
      <c r="D113" s="366">
        <v>25</v>
      </c>
      <c r="E113" s="366">
        <v>27</v>
      </c>
      <c r="F113" s="366">
        <f t="shared" si="47"/>
        <v>200</v>
      </c>
      <c r="G113" s="366">
        <f t="shared" si="48"/>
        <v>2500</v>
      </c>
      <c r="H113" s="367">
        <f t="shared" si="49"/>
        <v>0.08</v>
      </c>
      <c r="I113" s="366"/>
    </row>
    <row r="114" spans="2:9" x14ac:dyDescent="0.25">
      <c r="B114" s="364">
        <v>42584</v>
      </c>
      <c r="C114" s="365">
        <v>0</v>
      </c>
      <c r="D114" s="366"/>
      <c r="E114" s="366"/>
      <c r="F114" s="366">
        <v>287.94</v>
      </c>
      <c r="G114" s="366"/>
      <c r="H114" s="367"/>
      <c r="I114" s="366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0">C118*(E118-D118)</f>
        <v>-9.9999999999999645</v>
      </c>
      <c r="G118" s="254">
        <f t="shared" ref="G118:G123" si="51">D118*C118</f>
        <v>1287</v>
      </c>
      <c r="H118" s="268">
        <f t="shared" ref="H118:H123" si="52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0"/>
        <v>-45.999999999999908</v>
      </c>
      <c r="G119" s="254">
        <f t="shared" si="51"/>
        <v>1287</v>
      </c>
      <c r="H119" s="268">
        <f t="shared" si="52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0"/>
        <v>-82.000000000000028</v>
      </c>
      <c r="G120" s="254">
        <f t="shared" si="51"/>
        <v>2496</v>
      </c>
      <c r="H120" s="268">
        <f t="shared" si="52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0"/>
        <v>-99.000000000000028</v>
      </c>
      <c r="G121" s="254">
        <f t="shared" si="51"/>
        <v>3720</v>
      </c>
      <c r="H121" s="268">
        <f t="shared" si="52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0"/>
        <v>-121.50000000000034</v>
      </c>
      <c r="G122" s="254">
        <f t="shared" si="51"/>
        <v>3720</v>
      </c>
      <c r="H122" s="268">
        <f t="shared" si="52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0"/>
        <v>-50.999999999999979</v>
      </c>
      <c r="G123" s="254">
        <f t="shared" si="51"/>
        <v>3720</v>
      </c>
      <c r="H123" s="268">
        <f t="shared" si="52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3">C124*(E124-D124)</f>
        <v>13.499999999999979</v>
      </c>
      <c r="G124" s="254">
        <f t="shared" ref="G124:G135" si="54">D124*C124</f>
        <v>3720</v>
      </c>
      <c r="H124" s="268">
        <f t="shared" ref="H124:H135" si="55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3"/>
        <v>40.499999999999936</v>
      </c>
      <c r="G125" s="254">
        <f t="shared" si="54"/>
        <v>3720</v>
      </c>
      <c r="H125" s="268">
        <f t="shared" si="55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3"/>
        <v>7.5000000000001066</v>
      </c>
      <c r="G126" s="254">
        <f t="shared" si="54"/>
        <v>3720</v>
      </c>
      <c r="H126" s="268">
        <f t="shared" si="55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3"/>
        <v>-33.000000000000362</v>
      </c>
      <c r="G127" s="254">
        <f t="shared" si="54"/>
        <v>3720</v>
      </c>
      <c r="H127" s="268">
        <f t="shared" si="55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3"/>
        <v>-211.50000000000003</v>
      </c>
      <c r="G128" s="254">
        <f t="shared" si="54"/>
        <v>3720</v>
      </c>
      <c r="H128" s="268">
        <f t="shared" si="55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3"/>
        <v>-144.00000000000011</v>
      </c>
      <c r="G129" s="254">
        <f t="shared" si="54"/>
        <v>3720</v>
      </c>
      <c r="H129" s="268">
        <f t="shared" si="55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3"/>
        <v>-73.500000000000298</v>
      </c>
      <c r="G130" s="254">
        <f t="shared" si="54"/>
        <v>3720</v>
      </c>
      <c r="H130" s="268">
        <f t="shared" si="55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3"/>
        <v>-104.53499999999991</v>
      </c>
      <c r="G131" s="254">
        <f t="shared" si="54"/>
        <v>3694.0349999999999</v>
      </c>
      <c r="H131" s="268">
        <f t="shared" si="55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3"/>
        <v>-164.53499999999968</v>
      </c>
      <c r="G132" s="254">
        <f t="shared" si="54"/>
        <v>3694.0349999999999</v>
      </c>
      <c r="H132" s="268">
        <f t="shared" si="55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3"/>
        <v>8.2949999999998525</v>
      </c>
      <c r="G133" s="254">
        <f t="shared" si="54"/>
        <v>3639.7050000000004</v>
      </c>
      <c r="H133" s="268">
        <f t="shared" si="55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3"/>
        <v>69.794999999999874</v>
      </c>
      <c r="G134" s="254">
        <f t="shared" si="54"/>
        <v>3639.7050000000004</v>
      </c>
      <c r="H134" s="268">
        <f t="shared" si="55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3"/>
        <v>589.25999999999976</v>
      </c>
      <c r="G135" s="254">
        <f t="shared" si="54"/>
        <v>2250.7400000000002</v>
      </c>
      <c r="H135" s="268">
        <f t="shared" si="55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2" t="s">
        <v>1</v>
      </c>
      <c r="B144" s="452" t="s">
        <v>2</v>
      </c>
      <c r="C144" s="452" t="s">
        <v>4</v>
      </c>
      <c r="D144" s="453" t="s">
        <v>5</v>
      </c>
      <c r="E144" s="453" t="s">
        <v>94</v>
      </c>
      <c r="F144" s="453" t="s">
        <v>60</v>
      </c>
      <c r="G144" s="452" t="s">
        <v>3</v>
      </c>
      <c r="H144" s="452" t="s">
        <v>6</v>
      </c>
      <c r="I144" s="453" t="s">
        <v>7</v>
      </c>
      <c r="J144" s="453" t="s">
        <v>95</v>
      </c>
      <c r="K144" s="453" t="s">
        <v>61</v>
      </c>
      <c r="L144" s="452" t="s">
        <v>37</v>
      </c>
      <c r="M144" s="452" t="s">
        <v>38</v>
      </c>
    </row>
    <row r="145" spans="1:13" x14ac:dyDescent="0.25">
      <c r="A145" s="454" t="s">
        <v>227</v>
      </c>
      <c r="B145" s="455">
        <v>42548</v>
      </c>
      <c r="C145" s="456">
        <v>100</v>
      </c>
      <c r="D145" s="457">
        <v>25</v>
      </c>
      <c r="E145" s="457">
        <v>0</v>
      </c>
      <c r="F145" s="457">
        <f>D145*C145+E145</f>
        <v>2500</v>
      </c>
      <c r="G145" s="455">
        <v>42584</v>
      </c>
      <c r="H145" s="458">
        <v>100</v>
      </c>
      <c r="I145" s="457">
        <v>27.88</v>
      </c>
      <c r="J145" s="457">
        <v>0.06</v>
      </c>
      <c r="K145" s="457">
        <f>H145*I145-J145</f>
        <v>2787.94</v>
      </c>
      <c r="L145" s="455">
        <v>42719</v>
      </c>
      <c r="M145" s="456">
        <v>41.25</v>
      </c>
    </row>
    <row r="146" spans="1:13" x14ac:dyDescent="0.25">
      <c r="A146" s="459" t="s">
        <v>71</v>
      </c>
      <c r="B146" s="455">
        <v>42627</v>
      </c>
      <c r="C146" s="456">
        <v>50</v>
      </c>
      <c r="D146" s="457">
        <v>25.74</v>
      </c>
      <c r="E146" s="457">
        <v>0</v>
      </c>
      <c r="F146" s="457">
        <v>1287</v>
      </c>
      <c r="G146" s="455" t="s">
        <v>338</v>
      </c>
      <c r="H146" s="458">
        <v>50</v>
      </c>
      <c r="I146" s="457">
        <v>25</v>
      </c>
      <c r="J146" s="457">
        <v>0.03</v>
      </c>
      <c r="K146" s="457">
        <v>1249.97</v>
      </c>
      <c r="L146" s="456"/>
      <c r="M146" s="456"/>
    </row>
    <row r="147" spans="1:13" x14ac:dyDescent="0.25">
      <c r="A147" s="456"/>
      <c r="B147" s="455">
        <v>42639</v>
      </c>
      <c r="C147" s="456">
        <v>50</v>
      </c>
      <c r="D147" s="457">
        <v>24.48</v>
      </c>
      <c r="E147" s="457">
        <v>0</v>
      </c>
      <c r="F147" s="457">
        <v>1224</v>
      </c>
      <c r="G147" s="455" t="s">
        <v>338</v>
      </c>
      <c r="H147" s="458">
        <v>100</v>
      </c>
      <c r="I147" s="457">
        <v>24.88</v>
      </c>
      <c r="J147" s="457">
        <v>0.05</v>
      </c>
      <c r="K147" s="457">
        <v>2487.9499999999998</v>
      </c>
      <c r="L147" s="456"/>
      <c r="M147" s="456"/>
    </row>
    <row r="148" spans="1:13" x14ac:dyDescent="0.25">
      <c r="A148" s="456"/>
      <c r="B148" s="455">
        <v>42639</v>
      </c>
      <c r="C148" s="456">
        <v>50</v>
      </c>
      <c r="D148" s="457">
        <v>24.18</v>
      </c>
      <c r="E148" s="457">
        <v>0</v>
      </c>
      <c r="F148" s="457">
        <v>1209</v>
      </c>
      <c r="G148" s="455" t="s">
        <v>338</v>
      </c>
      <c r="H148" s="458">
        <v>50</v>
      </c>
      <c r="I148" s="457">
        <v>27.78</v>
      </c>
      <c r="J148" s="457">
        <v>0.03</v>
      </c>
      <c r="K148" s="457">
        <v>1388.97</v>
      </c>
      <c r="L148" s="456"/>
      <c r="M148" s="456"/>
    </row>
    <row r="149" spans="1:13" x14ac:dyDescent="0.25">
      <c r="A149" s="456"/>
      <c r="B149" s="455">
        <v>42670</v>
      </c>
      <c r="C149" s="456">
        <v>50</v>
      </c>
      <c r="D149" s="457">
        <v>24.48</v>
      </c>
      <c r="E149" s="457">
        <v>0</v>
      </c>
      <c r="F149" s="457">
        <v>1224</v>
      </c>
      <c r="G149" s="455" t="s">
        <v>338</v>
      </c>
      <c r="H149" s="458">
        <v>100</v>
      </c>
      <c r="I149" s="457">
        <v>29.78</v>
      </c>
      <c r="J149" s="457">
        <v>0.06</v>
      </c>
      <c r="K149" s="457">
        <v>2977.94</v>
      </c>
      <c r="L149" s="456"/>
      <c r="M149" s="456"/>
    </row>
    <row r="150" spans="1:13" x14ac:dyDescent="0.25">
      <c r="A150" s="456"/>
      <c r="B150" s="455" t="s">
        <v>338</v>
      </c>
      <c r="C150" s="456">
        <v>100</v>
      </c>
      <c r="D150" s="457">
        <v>24.34</v>
      </c>
      <c r="E150" s="457">
        <v>-0.37</v>
      </c>
      <c r="F150" s="457">
        <v>2433.63</v>
      </c>
      <c r="G150" s="456"/>
      <c r="H150" s="458"/>
      <c r="I150" s="457"/>
      <c r="J150" s="457"/>
      <c r="K150" s="457"/>
      <c r="L150" s="456"/>
      <c r="M150" s="456"/>
    </row>
    <row r="151" spans="1:13" x14ac:dyDescent="0.25">
      <c r="A151" s="456"/>
      <c r="B151" s="499">
        <v>42723</v>
      </c>
      <c r="C151" s="500">
        <v>100</v>
      </c>
      <c r="D151" s="502">
        <v>27.98</v>
      </c>
      <c r="E151" s="502">
        <v>0</v>
      </c>
      <c r="F151" s="502">
        <f>D151*C151+E151</f>
        <v>2798</v>
      </c>
      <c r="G151" s="499">
        <v>42724</v>
      </c>
      <c r="H151" s="500">
        <v>100</v>
      </c>
      <c r="I151" s="502">
        <v>27.94</v>
      </c>
      <c r="J151" s="502">
        <v>0.06</v>
      </c>
      <c r="K151" s="502">
        <f>I151*H151-J151</f>
        <v>2793.94</v>
      </c>
      <c r="L151" s="456"/>
      <c r="M151" s="456"/>
    </row>
    <row r="152" spans="1:13" x14ac:dyDescent="0.25">
      <c r="A152" s="456"/>
      <c r="B152" s="437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7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6"/>
      <c r="M152" s="456"/>
    </row>
    <row r="153" spans="1:13" x14ac:dyDescent="0.25">
      <c r="A153" s="456"/>
      <c r="B153" s="456"/>
      <c r="C153" s="456"/>
      <c r="D153" s="457"/>
      <c r="E153" s="457"/>
      <c r="F153" s="457"/>
      <c r="G153" s="456"/>
      <c r="H153" s="458"/>
      <c r="I153" s="457"/>
      <c r="J153" s="457"/>
      <c r="K153" s="457"/>
      <c r="L153" s="456"/>
      <c r="M153" s="456"/>
    </row>
    <row r="154" spans="1:13" x14ac:dyDescent="0.25">
      <c r="A154" s="456"/>
      <c r="B154" s="456"/>
      <c r="C154" s="456"/>
      <c r="D154" s="457"/>
      <c r="E154" s="457"/>
      <c r="F154" s="457"/>
      <c r="G154" s="456"/>
      <c r="H154" s="458"/>
      <c r="I154" s="457"/>
      <c r="J154" s="457"/>
      <c r="K154" s="457"/>
      <c r="L154" s="456"/>
      <c r="M154" s="456"/>
    </row>
    <row r="155" spans="1:13" x14ac:dyDescent="0.25">
      <c r="A155" s="456"/>
      <c r="B155" s="456"/>
      <c r="C155" s="456"/>
      <c r="D155" s="457"/>
      <c r="E155" s="457"/>
      <c r="F155" s="457"/>
      <c r="G155" s="456"/>
      <c r="H155" s="458"/>
      <c r="I155" s="457"/>
      <c r="J155" s="457"/>
      <c r="K155" s="457"/>
      <c r="L155" s="456"/>
      <c r="M155" s="456"/>
    </row>
    <row r="156" spans="1:13" x14ac:dyDescent="0.25">
      <c r="A156" s="456"/>
      <c r="B156" s="456"/>
      <c r="C156" s="456"/>
      <c r="D156" s="457"/>
      <c r="E156" s="457"/>
      <c r="F156" s="457"/>
      <c r="G156" s="456"/>
      <c r="H156" s="458"/>
      <c r="I156" s="457"/>
      <c r="J156" s="457"/>
      <c r="K156" s="457"/>
      <c r="L156" s="456"/>
      <c r="M156" s="456"/>
    </row>
    <row r="157" spans="1:13" x14ac:dyDescent="0.25">
      <c r="A157" s="456"/>
      <c r="B157" s="456"/>
      <c r="C157" s="456"/>
      <c r="D157" s="457"/>
      <c r="E157" s="457"/>
      <c r="F157" s="457"/>
      <c r="G157" s="456"/>
      <c r="H157" s="458"/>
      <c r="I157" s="457"/>
      <c r="J157" s="457"/>
      <c r="K157" s="457"/>
      <c r="L157" s="456"/>
      <c r="M157" s="456"/>
    </row>
    <row r="158" spans="1:13" x14ac:dyDescent="0.25">
      <c r="A158" s="456"/>
      <c r="B158" s="456"/>
      <c r="C158" s="456"/>
      <c r="D158" s="457"/>
      <c r="E158" s="457"/>
      <c r="F158" s="457"/>
      <c r="G158" s="456"/>
      <c r="H158" s="458"/>
      <c r="I158" s="457"/>
      <c r="J158" s="457"/>
      <c r="K158" s="457"/>
      <c r="L158" s="456"/>
      <c r="M158" s="456"/>
    </row>
    <row r="159" spans="1:13" x14ac:dyDescent="0.25">
      <c r="A159" s="456"/>
      <c r="B159" s="456"/>
      <c r="C159" s="456"/>
      <c r="D159" s="457"/>
      <c r="E159" s="457"/>
      <c r="F159" s="457"/>
      <c r="G159" s="456"/>
      <c r="H159" s="458"/>
      <c r="I159" s="457"/>
      <c r="J159" s="457"/>
      <c r="K159" s="457"/>
      <c r="L159" s="456"/>
      <c r="M159" s="456"/>
    </row>
    <row r="160" spans="1:13" x14ac:dyDescent="0.25">
      <c r="A160" s="456"/>
      <c r="B160" s="456"/>
      <c r="C160" s="456"/>
      <c r="D160" s="457"/>
      <c r="E160" s="457"/>
      <c r="F160" s="457"/>
      <c r="G160" s="456"/>
      <c r="H160" s="456"/>
      <c r="I160" s="457"/>
      <c r="J160" s="457"/>
      <c r="K160" s="457"/>
      <c r="L160" s="456"/>
      <c r="M160" s="456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8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0" t="s">
        <v>194</v>
      </c>
      <c r="B162" s="461"/>
      <c r="C162" s="462">
        <f>SumByColor($A$33,C145:C160)</f>
        <v>100</v>
      </c>
      <c r="D162" s="462"/>
      <c r="E162" s="462"/>
      <c r="F162" s="463">
        <f>SumByColor($A$33,F145:F160)</f>
        <v>2758</v>
      </c>
      <c r="G162" s="462"/>
      <c r="H162" s="462">
        <f>SumByColor($A$33,H145:H160)</f>
        <v>100</v>
      </c>
      <c r="I162" s="462"/>
      <c r="J162" s="462"/>
      <c r="K162" s="463">
        <f>SumByColor($A$33,K145:K160)</f>
        <v>3158</v>
      </c>
      <c r="L162" s="462"/>
      <c r="M162" s="463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1013" priority="60">
      <formula>F85&gt;0</formula>
    </cfRule>
    <cfRule type="expression" dxfId="1012" priority="61">
      <formula>F85&lt;0</formula>
    </cfRule>
  </conditionalFormatting>
  <conditionalFormatting sqref="Q7">
    <cfRule type="expression" dxfId="1011" priority="48">
      <formula>Q7&gt;0</formula>
    </cfRule>
    <cfRule type="expression" dxfId="1010" priority="49">
      <formula>Q7&lt;0</formula>
    </cfRule>
  </conditionalFormatting>
  <conditionalFormatting sqref="Q8">
    <cfRule type="expression" dxfId="1009" priority="46">
      <formula>Q8&gt;0</formula>
    </cfRule>
    <cfRule type="expression" dxfId="1008" priority="47">
      <formula>Q8&lt;0</formula>
    </cfRule>
  </conditionalFormatting>
  <conditionalFormatting sqref="F101:F113">
    <cfRule type="expression" dxfId="1007" priority="44">
      <formula>F101&gt;0</formula>
    </cfRule>
    <cfRule type="expression" dxfId="1006" priority="45">
      <formula>F101&lt;0</formula>
    </cfRule>
  </conditionalFormatting>
  <conditionalFormatting sqref="H101:H113">
    <cfRule type="expression" dxfId="1005" priority="42">
      <formula>H101&gt;0</formula>
    </cfRule>
    <cfRule type="expression" dxfId="1004" priority="43">
      <formula>H101&lt;0</formula>
    </cfRule>
  </conditionalFormatting>
  <conditionalFormatting sqref="H117:H120">
    <cfRule type="expression" dxfId="1003" priority="38">
      <formula>H117&gt;0</formula>
    </cfRule>
    <cfRule type="expression" dxfId="1002" priority="39">
      <formula>H117&lt;0</formula>
    </cfRule>
  </conditionalFormatting>
  <conditionalFormatting sqref="F117:F120">
    <cfRule type="expression" dxfId="1001" priority="40">
      <formula>F117&gt;0</formula>
    </cfRule>
    <cfRule type="expression" dxfId="1000" priority="41">
      <formula>F117&lt;0</formula>
    </cfRule>
  </conditionalFormatting>
  <conditionalFormatting sqref="M143">
    <cfRule type="expression" dxfId="999" priority="36">
      <formula>M143&gt;0</formula>
    </cfRule>
    <cfRule type="expression" dxfId="998" priority="37">
      <formula>M143&lt;0</formula>
    </cfRule>
  </conditionalFormatting>
  <conditionalFormatting sqref="F37:F38 F45:F82">
    <cfRule type="expression" dxfId="997" priority="34">
      <formula>F37&gt;0</formula>
    </cfRule>
    <cfRule type="expression" dxfId="996" priority="35">
      <formula>F37&lt;0</formula>
    </cfRule>
  </conditionalFormatting>
  <conditionalFormatting sqref="H37:H38 H45:H82">
    <cfRule type="expression" dxfId="995" priority="32">
      <formula>H37&gt;0</formula>
    </cfRule>
    <cfRule type="expression" dxfId="994" priority="33">
      <formula>H37&lt;0</formula>
    </cfRule>
  </conditionalFormatting>
  <conditionalFormatting sqref="Q10">
    <cfRule type="expression" dxfId="993" priority="30">
      <formula>Q10&gt;0</formula>
    </cfRule>
    <cfRule type="expression" dxfId="992" priority="31">
      <formula>Q10&lt;0</formula>
    </cfRule>
  </conditionalFormatting>
  <conditionalFormatting sqref="F39:F44">
    <cfRule type="expression" dxfId="991" priority="28">
      <formula>F39&gt;0</formula>
    </cfRule>
    <cfRule type="expression" dxfId="990" priority="29">
      <formula>F39&lt;0</formula>
    </cfRule>
  </conditionalFormatting>
  <conditionalFormatting sqref="H39:H44">
    <cfRule type="expression" dxfId="989" priority="26">
      <formula>H39&gt;0</formula>
    </cfRule>
    <cfRule type="expression" dxfId="988" priority="27">
      <formula>H39&lt;0</formula>
    </cfRule>
  </conditionalFormatting>
  <conditionalFormatting sqref="K42:K49">
    <cfRule type="expression" dxfId="987" priority="24">
      <formula>K42&gt;0</formula>
    </cfRule>
    <cfRule type="expression" dxfId="986" priority="25">
      <formula>K42&lt;0</formula>
    </cfRule>
  </conditionalFormatting>
  <conditionalFormatting sqref="K50:K82">
    <cfRule type="expression" dxfId="985" priority="22">
      <formula>K50&gt;0</formula>
    </cfRule>
    <cfRule type="expression" dxfId="984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83" priority="19">
      <formula>F83&gt;0</formula>
    </cfRule>
    <cfRule type="expression" dxfId="982" priority="20">
      <formula>F83&lt;0</formula>
    </cfRule>
  </conditionalFormatting>
  <conditionalFormatting sqref="H83:H84">
    <cfRule type="expression" dxfId="981" priority="17">
      <formula>H83&gt;0</formula>
    </cfRule>
    <cfRule type="expression" dxfId="980" priority="18">
      <formula>H83&lt;0</formula>
    </cfRule>
  </conditionalFormatting>
  <conditionalFormatting sqref="K83:K84">
    <cfRule type="expression" dxfId="979" priority="15">
      <formula>K83&gt;0</formula>
    </cfRule>
    <cfRule type="expression" dxfId="978" priority="16">
      <formula>K83&lt;0</formula>
    </cfRule>
  </conditionalFormatting>
  <conditionalFormatting sqref="F93:F95 H93:H95 K93:K95">
    <cfRule type="expression" dxfId="977" priority="11">
      <formula>F93&gt;0</formula>
    </cfRule>
    <cfRule type="expression" dxfId="976" priority="12">
      <formula>F93&lt;0</formula>
    </cfRule>
  </conditionalFormatting>
  <conditionalFormatting sqref="L85:L91 L96:L98">
    <cfRule type="expression" dxfId="975" priority="9">
      <formula>L85&gt;0</formula>
    </cfRule>
    <cfRule type="expression" dxfId="974" priority="10">
      <formula>L85&lt;0</formula>
    </cfRule>
  </conditionalFormatting>
  <conditionalFormatting sqref="L42:L49">
    <cfRule type="expression" dxfId="973" priority="7">
      <formula>L42&gt;0</formula>
    </cfRule>
    <cfRule type="expression" dxfId="972" priority="8">
      <formula>L42&lt;0</formula>
    </cfRule>
  </conditionalFormatting>
  <conditionalFormatting sqref="L50:L82">
    <cfRule type="expression" dxfId="971" priority="5">
      <formula>L50&gt;0</formula>
    </cfRule>
    <cfRule type="expression" dxfId="970" priority="6">
      <formula>L50&lt;0</formula>
    </cfRule>
  </conditionalFormatting>
  <conditionalFormatting sqref="L83:L84">
    <cfRule type="expression" dxfId="969" priority="3">
      <formula>L83&gt;0</formula>
    </cfRule>
    <cfRule type="expression" dxfId="968" priority="4">
      <formula>L83&lt;0</formula>
    </cfRule>
  </conditionalFormatting>
  <conditionalFormatting sqref="L93:L95">
    <cfRule type="expression" dxfId="967" priority="1">
      <formula>L93&gt;0</formula>
    </cfRule>
    <cfRule type="expression" dxfId="966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78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1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2" t="s">
        <v>194</v>
      </c>
      <c r="B72" s="443"/>
      <c r="C72" s="444">
        <f>SumByColor($A$19,C55:C70)</f>
        <v>0</v>
      </c>
      <c r="D72" s="444"/>
      <c r="E72" s="444"/>
      <c r="F72" s="445">
        <f>SumByColor($A$19,F55:F70)</f>
        <v>0</v>
      </c>
      <c r="G72" s="444"/>
      <c r="H72" s="444">
        <f>SumByColor($A$19,H55:H70)</f>
        <v>0</v>
      </c>
      <c r="I72" s="444"/>
      <c r="J72" s="444"/>
      <c r="K72" s="445">
        <f>SumByColor($A$19,K55:K70)</f>
        <v>0</v>
      </c>
      <c r="L72" s="444"/>
      <c r="M72" s="44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4" priority="9">
      <formula>F39&gt;0</formula>
    </cfRule>
    <cfRule type="expression" dxfId="953" priority="10">
      <formula>F39&lt;0</formula>
    </cfRule>
  </conditionalFormatting>
  <conditionalFormatting sqref="F25:F38">
    <cfRule type="expression" dxfId="952" priority="7">
      <formula>F25&gt;0</formula>
    </cfRule>
    <cfRule type="expression" dxfId="951" priority="8">
      <formula>F25&lt;0</formula>
    </cfRule>
  </conditionalFormatting>
  <conditionalFormatting sqref="H25:H38">
    <cfRule type="expression" dxfId="950" priority="5">
      <formula>H25&gt;0</formula>
    </cfRule>
    <cfRule type="expression" dxfId="949" priority="6">
      <formula>H25&lt;0</formula>
    </cfRule>
  </conditionalFormatting>
  <conditionalFormatting sqref="Q7">
    <cfRule type="expression" dxfId="948" priority="3">
      <formula>Q7&gt;0</formula>
    </cfRule>
    <cfRule type="expression" dxfId="947" priority="4">
      <formula>Q7&lt;0</formula>
    </cfRule>
  </conditionalFormatting>
  <conditionalFormatting sqref="Q8">
    <cfRule type="expression" dxfId="946" priority="1">
      <formula>Q8&gt;0</formula>
    </cfRule>
    <cfRule type="expression" dxfId="94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498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7" t="s">
        <v>78</v>
      </c>
      <c r="P14" s="847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8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5401.7800000000007</v>
      </c>
      <c r="G84" s="520"/>
      <c r="H84" s="542">
        <f>SUM(H68:H71)</f>
        <v>20</v>
      </c>
      <c r="I84" s="521"/>
      <c r="J84" s="521"/>
      <c r="K84" s="521">
        <f>SUM(K68:K71)</f>
        <v>6666.64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4" priority="29">
      <formula>F29&gt;0</formula>
    </cfRule>
    <cfRule type="expression" dxfId="943" priority="30">
      <formula>F29&lt;0</formula>
    </cfRule>
  </conditionalFormatting>
  <conditionalFormatting sqref="Q7">
    <cfRule type="expression" dxfId="942" priority="27">
      <formula>Q7&gt;0</formula>
    </cfRule>
    <cfRule type="expression" dxfId="941" priority="28">
      <formula>Q7&lt;0</formula>
    </cfRule>
  </conditionalFormatting>
  <conditionalFormatting sqref="Q8">
    <cfRule type="expression" dxfId="940" priority="25">
      <formula>Q8&gt;0</formula>
    </cfRule>
    <cfRule type="expression" dxfId="939" priority="26">
      <formula>Q8&lt;0</formula>
    </cfRule>
  </conditionalFormatting>
  <conditionalFormatting sqref="F96:F110">
    <cfRule type="expression" dxfId="938" priority="19">
      <formula>F96&gt;0</formula>
    </cfRule>
    <cfRule type="expression" dxfId="937" priority="20">
      <formula>F96&lt;0</formula>
    </cfRule>
  </conditionalFormatting>
  <conditionalFormatting sqref="H96:H110">
    <cfRule type="expression" dxfId="936" priority="17">
      <formula>H96&gt;0</formula>
    </cfRule>
    <cfRule type="expression" dxfId="935" priority="18">
      <formula>H96&lt;0</formula>
    </cfRule>
  </conditionalFormatting>
  <conditionalFormatting sqref="Q10">
    <cfRule type="expression" dxfId="934" priority="15">
      <formula>Q10&gt;0</formula>
    </cfRule>
    <cfRule type="expression" dxfId="933" priority="16">
      <formula>Q10&lt;0</formula>
    </cfRule>
  </conditionalFormatting>
  <conditionalFormatting sqref="L29:L38">
    <cfRule type="expression" dxfId="932" priority="9">
      <formula>L29&gt;0</formula>
    </cfRule>
    <cfRule type="expression" dxfId="931" priority="10">
      <formula>L29&lt;0</formula>
    </cfRule>
  </conditionalFormatting>
  <conditionalFormatting sqref="F27:F29 H27:H29 J25:K29">
    <cfRule type="expression" dxfId="930" priority="7">
      <formula>F25&gt;0</formula>
    </cfRule>
    <cfRule type="expression" dxfId="929" priority="8">
      <formula>F25&lt;0</formula>
    </cfRule>
  </conditionalFormatting>
  <conditionalFormatting sqref="L25:L29">
    <cfRule type="expression" dxfId="928" priority="5">
      <formula>L25&gt;0</formula>
    </cfRule>
    <cfRule type="expression" dxfId="927" priority="6">
      <formula>L25&lt;0</formula>
    </cfRule>
  </conditionalFormatting>
  <conditionalFormatting sqref="F25:F26">
    <cfRule type="expression" dxfId="926" priority="3">
      <formula>F25&gt;0</formula>
    </cfRule>
    <cfRule type="expression" dxfId="925" priority="4">
      <formula>F25&lt;0</formula>
    </cfRule>
  </conditionalFormatting>
  <conditionalFormatting sqref="H25:H26">
    <cfRule type="expression" dxfId="924" priority="1">
      <formula>H25&gt;0</formula>
    </cfRule>
    <cfRule type="expression" dxfId="92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904</v>
      </c>
      <c r="W2" s="134"/>
    </row>
    <row r="3" spans="1:23" x14ac:dyDescent="0.25">
      <c r="A3" s="22" t="s">
        <v>71</v>
      </c>
      <c r="B3" s="7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89.732000000000014</v>
      </c>
      <c r="T3" s="1">
        <v>43114</v>
      </c>
      <c r="U3" t="s">
        <v>905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87.76</v>
      </c>
      <c r="R4" s="498">
        <v>1.0699999999999999E-2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8776</v>
      </c>
      <c r="T5" s="1">
        <v>43121</v>
      </c>
      <c r="U5" t="s">
        <v>924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-197.20000000000073</v>
      </c>
      <c r="R7">
        <v>100</v>
      </c>
      <c r="T7" s="1">
        <v>43138</v>
      </c>
      <c r="U7" t="s">
        <v>1008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-197.20000000000073</v>
      </c>
      <c r="T8" s="1"/>
      <c r="U8" t="s">
        <v>1009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-2.1976552400481512E-2</v>
      </c>
      <c r="U9" t="s">
        <v>1010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1012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2.59799453053783E-2</v>
      </c>
      <c r="R11">
        <f>0.57</f>
        <v>0.56999999999999995</v>
      </c>
      <c r="W11" s="134"/>
    </row>
    <row r="12" spans="1:23" x14ac:dyDescent="0.25">
      <c r="H12" s="70"/>
      <c r="O12" s="11" t="s">
        <v>968</v>
      </c>
      <c r="Q12" s="1" t="s">
        <v>1033</v>
      </c>
      <c r="W12" s="134"/>
    </row>
    <row r="13" spans="1:23" x14ac:dyDescent="0.25">
      <c r="H13" s="70"/>
      <c r="O13" s="11" t="s">
        <v>997</v>
      </c>
      <c r="Q13" s="2">
        <f>Q4/6.6</f>
        <v>13.296969696969699</v>
      </c>
      <c r="T13" s="1">
        <v>43213</v>
      </c>
      <c r="U13" t="s">
        <v>1011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O18" s="847" t="s">
        <v>78</v>
      </c>
      <c r="P18" s="847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23</v>
      </c>
      <c r="O19" s="81">
        <v>1.1000000000000001</v>
      </c>
      <c r="P19" s="81">
        <f>O19*$Q$4</f>
        <v>96.536000000000016</v>
      </c>
      <c r="W19" s="134"/>
    </row>
    <row r="20" spans="1:23" x14ac:dyDescent="0.25">
      <c r="O20" s="81">
        <v>1.0900000000000001</v>
      </c>
      <c r="P20" s="81">
        <f t="shared" ref="P20:P39" si="0">O20*$Q$4</f>
        <v>95.658400000000015</v>
      </c>
      <c r="W20" s="134"/>
    </row>
    <row r="21" spans="1:23" x14ac:dyDescent="0.25">
      <c r="O21" s="81">
        <v>1.08</v>
      </c>
      <c r="P21" s="81">
        <f t="shared" si="0"/>
        <v>94.780800000000013</v>
      </c>
      <c r="W21" s="134"/>
    </row>
    <row r="22" spans="1:23" x14ac:dyDescent="0.25">
      <c r="O22" s="81">
        <v>1.07</v>
      </c>
      <c r="P22" s="81">
        <f t="shared" si="0"/>
        <v>93.903200000000012</v>
      </c>
      <c r="W22" s="134"/>
    </row>
    <row r="23" spans="1:23" x14ac:dyDescent="0.25">
      <c r="O23" s="81">
        <v>1.06</v>
      </c>
      <c r="P23" s="81">
        <f t="shared" si="0"/>
        <v>93.025600000000011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997</v>
      </c>
      <c r="L24" s="223"/>
      <c r="O24" s="81">
        <v>1.05</v>
      </c>
      <c r="P24" s="81">
        <f t="shared" si="0"/>
        <v>92.14800000000001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91.270400000000009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90.392800000000008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89.515200000000007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88.637600000000006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87.76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86.882400000000004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86.004800000000003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85.127200000000002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" si="25">C33*(E33-D33)</f>
        <v>-530.19999999999925</v>
      </c>
      <c r="G33" s="39">
        <f t="shared" ref="G33" si="26">D33*C33</f>
        <v>8973.2000000000007</v>
      </c>
      <c r="H33" s="225">
        <f t="shared" ref="H33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84.249600000000001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0.95</v>
      </c>
      <c r="P34" s="81">
        <f t="shared" si="0"/>
        <v>83.372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0.94</v>
      </c>
      <c r="P35" s="81">
        <f t="shared" si="0"/>
        <v>82.494399999999999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0"/>
        <v>81.616800000000012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80.739200000000011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79.86160000000001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78.984000000000009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868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2" priority="25">
      <formula>F47&gt;0</formula>
    </cfRule>
    <cfRule type="expression" dxfId="921" priority="26">
      <formula>F47&lt;0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25:F29 F34:F46">
    <cfRule type="expression" dxfId="916" priority="19">
      <formula>F25&gt;0</formula>
    </cfRule>
    <cfRule type="expression" dxfId="915" priority="20">
      <formula>F25&lt;0</formula>
    </cfRule>
  </conditionalFormatting>
  <conditionalFormatting sqref="H25:H29 H34:H46">
    <cfRule type="expression" dxfId="914" priority="17">
      <formula>H25&gt;0</formula>
    </cfRule>
    <cfRule type="expression" dxfId="913" priority="18">
      <formula>H25&lt;0</formula>
    </cfRule>
  </conditionalFormatting>
  <conditionalFormatting sqref="F89:F110">
    <cfRule type="expression" dxfId="912" priority="15">
      <formula>F89&gt;0</formula>
    </cfRule>
    <cfRule type="expression" dxfId="911" priority="16">
      <formula>F89&lt;0</formula>
    </cfRule>
  </conditionalFormatting>
  <conditionalFormatting sqref="H89:H110">
    <cfRule type="expression" dxfId="910" priority="13">
      <formula>H89&gt;0</formula>
    </cfRule>
    <cfRule type="expression" dxfId="909" priority="14">
      <formula>H89&lt;0</formula>
    </cfRule>
  </conditionalFormatting>
  <conditionalFormatting sqref="Q10">
    <cfRule type="expression" dxfId="908" priority="11">
      <formula>Q10&gt;0</formula>
    </cfRule>
    <cfRule type="expression" dxfId="907" priority="12">
      <formula>Q10&lt;0</formula>
    </cfRule>
  </conditionalFormatting>
  <conditionalFormatting sqref="J25:J32 J34:J38">
    <cfRule type="expression" dxfId="906" priority="9">
      <formula>J25&gt;0</formula>
    </cfRule>
    <cfRule type="expression" dxfId="905" priority="10">
      <formula>J25&lt;0</formula>
    </cfRule>
  </conditionalFormatting>
  <conditionalFormatting sqref="K25:K30">
    <cfRule type="expression" dxfId="904" priority="7">
      <formula>K25&gt;0</formula>
    </cfRule>
    <cfRule type="expression" dxfId="903" priority="8">
      <formula>K25&lt;0</formula>
    </cfRule>
  </conditionalFormatting>
  <conditionalFormatting sqref="L25:L38">
    <cfRule type="expression" dxfId="902" priority="5">
      <formula>L25&gt;0</formula>
    </cfRule>
    <cfRule type="expression" dxfId="901" priority="6">
      <formula>L25&lt;0</formula>
    </cfRule>
  </conditionalFormatting>
  <conditionalFormatting sqref="F30:F33">
    <cfRule type="expression" dxfId="900" priority="3">
      <formula>F30&gt;0</formula>
    </cfRule>
    <cfRule type="expression" dxfId="899" priority="4">
      <formula>F30&lt;0</formula>
    </cfRule>
  </conditionalFormatting>
  <conditionalFormatting sqref="H30:H33">
    <cfRule type="expression" dxfId="898" priority="1">
      <formula>H30&gt;0</formula>
    </cfRule>
    <cfRule type="expression" dxfId="897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747</v>
      </c>
      <c r="B2" s="437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37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831</v>
      </c>
      <c r="W2" s="134"/>
    </row>
    <row r="3" spans="1:23" x14ac:dyDescent="0.25">
      <c r="A3" s="22" t="s">
        <v>71</v>
      </c>
      <c r="B3" s="437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7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71.381699999999995</v>
      </c>
      <c r="T3" s="1">
        <v>43096</v>
      </c>
      <c r="U3" t="s">
        <v>830</v>
      </c>
      <c r="W3" s="134"/>
    </row>
    <row r="4" spans="1:23" x14ac:dyDescent="0.25">
      <c r="B4" s="437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7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68.979900000000001</v>
      </c>
      <c r="R4" s="498">
        <v>-1.06E-2</v>
      </c>
      <c r="T4" s="1"/>
      <c r="U4" t="s">
        <v>834</v>
      </c>
      <c r="W4" s="134"/>
    </row>
    <row r="5" spans="1:23" x14ac:dyDescent="0.25">
      <c r="B5" s="437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7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13795.98</v>
      </c>
      <c r="U5" t="s">
        <v>832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833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-480.36000000000058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-480.36000000000058</v>
      </c>
      <c r="T8" s="1">
        <v>43114</v>
      </c>
      <c r="U8" t="s">
        <v>886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-3.3647279344706044E-2</v>
      </c>
      <c r="U9" t="s">
        <v>887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889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968</v>
      </c>
      <c r="T12" s="1">
        <v>43151</v>
      </c>
      <c r="U12" t="s">
        <v>82</v>
      </c>
      <c r="W12" s="134"/>
    </row>
    <row r="13" spans="1:23" x14ac:dyDescent="0.25">
      <c r="H13" s="70"/>
      <c r="O13" s="11" t="s">
        <v>997</v>
      </c>
      <c r="Q13">
        <f>Q4/(4.03+4.14)*2</f>
        <v>16.886144430844553</v>
      </c>
      <c r="U13" t="s">
        <v>996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7" t="s">
        <v>78</v>
      </c>
      <c r="P16" s="847"/>
      <c r="W16" s="134"/>
    </row>
    <row r="17" spans="1:23" ht="15.75" thickTop="1" x14ac:dyDescent="0.25">
      <c r="O17" s="81">
        <v>1.1000000000000001</v>
      </c>
      <c r="P17" s="81">
        <f>O17*$Q$4</f>
        <v>75.877890000000008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75.188091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14528</v>
      </c>
      <c r="G19" s="346"/>
      <c r="H19" s="346">
        <f>SumByColor($A$19,H2:H17)</f>
        <v>200</v>
      </c>
      <c r="I19" s="346"/>
      <c r="J19" s="346"/>
      <c r="K19" s="347">
        <f>SumByColor($A$19,K2:K17)</f>
        <v>15007</v>
      </c>
      <c r="L19" s="346"/>
      <c r="M19" s="347">
        <f>SumByColor($A$19,M2:M17)</f>
        <v>0</v>
      </c>
      <c r="O19" s="81">
        <v>1.08</v>
      </c>
      <c r="P19" s="81">
        <f t="shared" si="1"/>
        <v>74.498292000000006</v>
      </c>
      <c r="Q19" s="2"/>
      <c r="W19" s="134"/>
    </row>
    <row r="20" spans="1:23" x14ac:dyDescent="0.25">
      <c r="O20" s="81">
        <v>1.07</v>
      </c>
      <c r="P20" s="81">
        <f t="shared" si="1"/>
        <v>73.808492999999999</v>
      </c>
      <c r="Q20" s="2"/>
      <c r="W20" s="134"/>
    </row>
    <row r="21" spans="1:23" x14ac:dyDescent="0.25">
      <c r="O21" s="81">
        <v>1.06</v>
      </c>
      <c r="P21" s="81">
        <f t="shared" si="1"/>
        <v>73.118694000000005</v>
      </c>
      <c r="Q21" s="2"/>
      <c r="W21" s="134"/>
    </row>
    <row r="22" spans="1:23" x14ac:dyDescent="0.25">
      <c r="O22" s="81">
        <v>1.05</v>
      </c>
      <c r="P22" s="81">
        <f t="shared" si="1"/>
        <v>72.428894999999997</v>
      </c>
      <c r="Q22" s="2"/>
      <c r="W22" s="134"/>
    </row>
    <row r="23" spans="1:23" x14ac:dyDescent="0.25">
      <c r="O23" s="81">
        <v>1.04</v>
      </c>
      <c r="P23" s="81">
        <f t="shared" si="1"/>
        <v>71.739096000000004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997</v>
      </c>
      <c r="O24" s="81">
        <v>1.03</v>
      </c>
      <c r="P24" s="81">
        <f t="shared" si="1"/>
        <v>71.049296999999996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70.359498000000002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69.669698999999994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68.979900000000001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68.290101000000007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67.600301999999999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66.910503000000006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66.220703999999998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65.530905000000004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64.841105999999996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888</v>
      </c>
      <c r="L34" s="157"/>
      <c r="O34" s="81">
        <v>0.93</v>
      </c>
      <c r="P34" s="81">
        <f t="shared" si="1"/>
        <v>64.151307000000003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914</v>
      </c>
      <c r="L35" s="157"/>
      <c r="O35" s="81">
        <v>0.92</v>
      </c>
      <c r="P35" s="81">
        <f t="shared" si="1"/>
        <v>63.461508000000002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62.771709000000001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62.081910000000001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938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747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6" priority="25">
      <formula>F25&gt;0</formula>
    </cfRule>
    <cfRule type="expression" dxfId="895" priority="26">
      <formula>F25&lt;0</formula>
    </cfRule>
  </conditionalFormatting>
  <conditionalFormatting sqref="Q7">
    <cfRule type="expression" dxfId="894" priority="23">
      <formula>Q7&gt;0</formula>
    </cfRule>
    <cfRule type="expression" dxfId="893" priority="24">
      <formula>Q7&lt;0</formula>
    </cfRule>
  </conditionalFormatting>
  <conditionalFormatting sqref="Q8">
    <cfRule type="expression" dxfId="892" priority="21">
      <formula>Q8&gt;0</formula>
    </cfRule>
    <cfRule type="expression" dxfId="891" priority="22">
      <formula>Q8&lt;0</formula>
    </cfRule>
  </conditionalFormatting>
  <conditionalFormatting sqref="F25:F43 F48:F58">
    <cfRule type="expression" dxfId="890" priority="19">
      <formula>F25&gt;0</formula>
    </cfRule>
    <cfRule type="expression" dxfId="889" priority="20">
      <formula>F25&lt;0</formula>
    </cfRule>
  </conditionalFormatting>
  <conditionalFormatting sqref="H25:H43 H48:H58">
    <cfRule type="expression" dxfId="888" priority="17">
      <formula>H25&gt;0</formula>
    </cfRule>
    <cfRule type="expression" dxfId="887" priority="18">
      <formula>H25&lt;0</formula>
    </cfRule>
  </conditionalFormatting>
  <conditionalFormatting sqref="F89:F110">
    <cfRule type="expression" dxfId="886" priority="15">
      <formula>F89&gt;0</formula>
    </cfRule>
    <cfRule type="expression" dxfId="885" priority="16">
      <formula>F89&lt;0</formula>
    </cfRule>
  </conditionalFormatting>
  <conditionalFormatting sqref="H89:H110">
    <cfRule type="expression" dxfId="884" priority="13">
      <formula>H89&gt;0</formula>
    </cfRule>
    <cfRule type="expression" dxfId="883" priority="14">
      <formula>H89&lt;0</formula>
    </cfRule>
  </conditionalFormatting>
  <conditionalFormatting sqref="Q10">
    <cfRule type="expression" dxfId="882" priority="11">
      <formula>Q10&gt;0</formula>
    </cfRule>
    <cfRule type="expression" dxfId="881" priority="12">
      <formula>Q10&lt;0</formula>
    </cfRule>
  </conditionalFormatting>
  <conditionalFormatting sqref="J36:J38">
    <cfRule type="expression" dxfId="880" priority="9">
      <formula>J36&gt;0</formula>
    </cfRule>
    <cfRule type="expression" dxfId="879" priority="10">
      <formula>J36&lt;0</formula>
    </cfRule>
  </conditionalFormatting>
  <conditionalFormatting sqref="K36:K38">
    <cfRule type="expression" dxfId="878" priority="7">
      <formula>K36&gt;0</formula>
    </cfRule>
    <cfRule type="expression" dxfId="877" priority="8">
      <formula>K36&lt;0</formula>
    </cfRule>
  </conditionalFormatting>
  <conditionalFormatting sqref="L25:L38">
    <cfRule type="expression" dxfId="876" priority="5">
      <formula>L25&gt;0</formula>
    </cfRule>
    <cfRule type="expression" dxfId="875" priority="6">
      <formula>L25&lt;0</formula>
    </cfRule>
  </conditionalFormatting>
  <conditionalFormatting sqref="F44:F47">
    <cfRule type="expression" dxfId="874" priority="3">
      <formula>F44&gt;0</formula>
    </cfRule>
    <cfRule type="expression" dxfId="873" priority="4">
      <formula>F44&lt;0</formula>
    </cfRule>
  </conditionalFormatting>
  <conditionalFormatting sqref="H44:H47">
    <cfRule type="expression" dxfId="872" priority="1">
      <formula>H44&gt;0</formula>
    </cfRule>
    <cfRule type="expression" dxfId="871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37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7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4">
        <f>C18-H18</f>
        <v>500</v>
      </c>
      <c r="T2" s="1">
        <v>43032</v>
      </c>
      <c r="U2" t="s">
        <v>903</v>
      </c>
      <c r="W2" s="134"/>
    </row>
    <row r="3" spans="1:23" x14ac:dyDescent="0.25">
      <c r="A3" s="22" t="s">
        <v>71</v>
      </c>
      <c r="B3" s="437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7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T3" s="1"/>
      <c r="W3" s="134"/>
    </row>
    <row r="4" spans="1:23" x14ac:dyDescent="0.25">
      <c r="B4" s="437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7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22.889900000000001</v>
      </c>
      <c r="R4" s="498">
        <v>1.2999999999999999E-3</v>
      </c>
      <c r="T4" s="1">
        <v>43121</v>
      </c>
      <c r="U4" t="s">
        <v>923</v>
      </c>
      <c r="W4" s="134"/>
    </row>
    <row r="5" spans="1:23" x14ac:dyDescent="0.25">
      <c r="B5" s="437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11444.95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43160</v>
      </c>
      <c r="U6" t="s">
        <v>998</v>
      </c>
      <c r="W6" s="134"/>
    </row>
    <row r="7" spans="1:23" x14ac:dyDescent="0.25">
      <c r="B7" s="437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-4021.5800000000017</v>
      </c>
      <c r="R7">
        <v>203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-4021.5800000000017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-0.26001824585087935</v>
      </c>
      <c r="W9" s="134"/>
    </row>
    <row r="10" spans="1:23" x14ac:dyDescent="0.25">
      <c r="B10" s="477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77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4.5434886128816639E-2</v>
      </c>
      <c r="R11">
        <f>0.26</f>
        <v>0.26</v>
      </c>
      <c r="W11" s="134"/>
    </row>
    <row r="12" spans="1:23" x14ac:dyDescent="0.25">
      <c r="B12" s="477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968</v>
      </c>
      <c r="W12" s="134"/>
    </row>
    <row r="13" spans="1:23" x14ac:dyDescent="0.25">
      <c r="H13" s="70"/>
      <c r="O13" s="11" t="s">
        <v>997</v>
      </c>
      <c r="Q13">
        <f>Q4/(1.65+1.75)*2</f>
        <v>13.46464705882353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997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5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5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5">
        <f t="shared" ref="H27" si="11">(E27-D27)/D27</f>
        <v>1.6551724137931073E-2</v>
      </c>
      <c r="I27" s="39"/>
      <c r="J27" s="39"/>
      <c r="K27" s="39"/>
      <c r="L27" s="157"/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5">
        <f t="shared" ref="H28:H35" si="14">(E28-D28)/D28</f>
        <v>4.9180327868852347E-2</v>
      </c>
      <c r="I28" s="39"/>
      <c r="J28" s="39"/>
      <c r="K28" s="39"/>
      <c r="L28" s="157"/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5">
        <f t="shared" si="14"/>
        <v>1.1146277693683806E-2</v>
      </c>
      <c r="I29" s="39"/>
      <c r="J29" s="39"/>
      <c r="K29" s="39"/>
      <c r="L29" s="157"/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5">
        <f t="shared" si="14"/>
        <v>-8.4335975842039015E-3</v>
      </c>
      <c r="I30" s="39"/>
      <c r="J30" s="39"/>
      <c r="K30" s="39"/>
      <c r="L30" s="157"/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5">
        <f t="shared" si="14"/>
        <v>-4.5415743271612963E-2</v>
      </c>
      <c r="I31" s="39"/>
      <c r="J31" s="39"/>
      <c r="K31" s="39"/>
      <c r="L31" s="157"/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5">
        <f t="shared" si="14"/>
        <v>-0.29200940070505282</v>
      </c>
      <c r="I32" s="39"/>
      <c r="J32" s="39"/>
      <c r="K32" s="39"/>
      <c r="L32" s="157"/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5">
        <f t="shared" si="14"/>
        <v>-0.2475803933812051</v>
      </c>
      <c r="I33" s="39"/>
      <c r="J33" s="39"/>
      <c r="K33" s="39"/>
      <c r="L33" s="157"/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5">
        <f t="shared" si="14"/>
        <v>-0.20879842416283648</v>
      </c>
      <c r="I34" s="39"/>
      <c r="J34" s="39"/>
      <c r="K34" s="797" t="s">
        <v>965</v>
      </c>
      <c r="L34" s="157"/>
      <c r="W34" s="134"/>
    </row>
    <row r="35" spans="1:23" x14ac:dyDescent="0.25">
      <c r="B35" s="187">
        <v>43161</v>
      </c>
      <c r="C35" s="424">
        <v>400</v>
      </c>
      <c r="D35" s="845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5">
        <f t="shared" si="14"/>
        <v>-0.24878360150303502</v>
      </c>
      <c r="I35" s="39"/>
      <c r="J35" s="39"/>
      <c r="K35" s="39"/>
      <c r="L35" s="157"/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5">C36*(E36-D36)</f>
        <v>-3721.1200000000003</v>
      </c>
      <c r="G36" s="39">
        <f t="shared" ref="G36:G40" si="16">D36*C36</f>
        <v>13285.12</v>
      </c>
      <c r="H36" s="225">
        <f t="shared" ref="H36:H40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5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5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5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5"/>
        <v>-4041.4999999999991</v>
      </c>
      <c r="G40" s="39">
        <f t="shared" si="16"/>
        <v>15466.5</v>
      </c>
      <c r="H40" s="225">
        <f t="shared" si="17"/>
        <v>-0.26130669511524901</v>
      </c>
      <c r="I40" s="39">
        <v>30</v>
      </c>
      <c r="J40" s="39">
        <v>38</v>
      </c>
      <c r="K40" s="39"/>
      <c r="L40" s="39">
        <v>13.44</v>
      </c>
      <c r="O40" s="847" t="s">
        <v>78</v>
      </c>
      <c r="P40" s="847"/>
      <c r="T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25.178890000000003</v>
      </c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8">O42*$Q$4</f>
        <v>24.949991000000004</v>
      </c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8"/>
        <v>24.721092000000002</v>
      </c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8"/>
        <v>24.492193000000004</v>
      </c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24.263294000000002</v>
      </c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24.034395000000004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23.805496000000002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23.576597000000003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23.347698000000001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23.118799000000003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22.889900000000001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22.661000999999999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22.432102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22.203202999999998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21.974304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21.745404999999998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21.516506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21.287607000000001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21.058708000000003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20.829809000000001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20.600910000000002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842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0" priority="21">
      <formula>F47&gt;0</formula>
    </cfRule>
    <cfRule type="expression" dxfId="869" priority="22">
      <formula>F47&lt;0</formula>
    </cfRule>
  </conditionalFormatting>
  <conditionalFormatting sqref="Q7">
    <cfRule type="expression" dxfId="868" priority="19">
      <formula>Q7&gt;0</formula>
    </cfRule>
    <cfRule type="expression" dxfId="867" priority="20">
      <formula>Q7&lt;0</formula>
    </cfRule>
  </conditionalFormatting>
  <conditionalFormatting sqref="Q8">
    <cfRule type="expression" dxfId="866" priority="17">
      <formula>Q8&gt;0</formula>
    </cfRule>
    <cfRule type="expression" dxfId="865" priority="18">
      <formula>Q8&lt;0</formula>
    </cfRule>
  </conditionalFormatting>
  <conditionalFormatting sqref="F25:F46">
    <cfRule type="expression" dxfId="864" priority="15">
      <formula>F25&gt;0</formula>
    </cfRule>
    <cfRule type="expression" dxfId="863" priority="16">
      <formula>F25&lt;0</formula>
    </cfRule>
  </conditionalFormatting>
  <conditionalFormatting sqref="H25:H46">
    <cfRule type="expression" dxfId="862" priority="13">
      <formula>H25&gt;0</formula>
    </cfRule>
    <cfRule type="expression" dxfId="861" priority="14">
      <formula>H25&lt;0</formula>
    </cfRule>
  </conditionalFormatting>
  <conditionalFormatting sqref="F89:F110">
    <cfRule type="expression" dxfId="860" priority="11">
      <formula>F89&gt;0</formula>
    </cfRule>
    <cfRule type="expression" dxfId="859" priority="12">
      <formula>F89&lt;0</formula>
    </cfRule>
  </conditionalFormatting>
  <conditionalFormatting sqref="H89:H110">
    <cfRule type="expression" dxfId="858" priority="9">
      <formula>H89&gt;0</formula>
    </cfRule>
    <cfRule type="expression" dxfId="857" priority="10">
      <formula>H89&lt;0</formula>
    </cfRule>
  </conditionalFormatting>
  <conditionalFormatting sqref="Q10">
    <cfRule type="expression" dxfId="856" priority="7">
      <formula>Q10&gt;0</formula>
    </cfRule>
    <cfRule type="expression" dxfId="855" priority="8">
      <formula>Q10&lt;0</formula>
    </cfRule>
  </conditionalFormatting>
  <conditionalFormatting sqref="J25:J38">
    <cfRule type="expression" dxfId="854" priority="5">
      <formula>J25&gt;0</formula>
    </cfRule>
    <cfRule type="expression" dxfId="853" priority="6">
      <formula>J25&lt;0</formula>
    </cfRule>
  </conditionalFormatting>
  <conditionalFormatting sqref="K25:K38">
    <cfRule type="expression" dxfId="852" priority="3">
      <formula>K25&gt;0</formula>
    </cfRule>
    <cfRule type="expression" dxfId="851" priority="4">
      <formula>K25&lt;0</formula>
    </cfRule>
  </conditionalFormatting>
  <conditionalFormatting sqref="L25:L38">
    <cfRule type="expression" dxfId="850" priority="1">
      <formula>L25&gt;0</formula>
    </cfRule>
    <cfRule type="expression" dxfId="84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8">
        <v>42568</v>
      </c>
      <c r="U2" s="124" t="s">
        <v>242</v>
      </c>
      <c r="V2" s="16"/>
    </row>
    <row r="3" spans="1:3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N3" s="4"/>
      <c r="O3" s="11" t="s">
        <v>58</v>
      </c>
      <c r="Q3" s="484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78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0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0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8"/>
      <c r="AF8" s="228"/>
      <c r="AG8" s="228"/>
    </row>
    <row r="9" spans="1:33" x14ac:dyDescent="0.25">
      <c r="B9" s="480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8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0"/>
      <c r="C13" s="4"/>
      <c r="D13" s="3"/>
      <c r="E13" s="3"/>
      <c r="F13" s="3"/>
      <c r="G13" s="85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0"/>
      <c r="C14" s="4"/>
      <c r="D14" s="3"/>
      <c r="E14" s="3"/>
      <c r="F14" s="3"/>
      <c r="G14" s="851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4" t="s">
        <v>78</v>
      </c>
      <c r="P24" s="664"/>
      <c r="Q24" s="2"/>
    </row>
    <row r="25" spans="1:32" ht="15.75" thickTop="1" x14ac:dyDescent="0.25">
      <c r="B25" s="48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0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0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721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504</v>
      </c>
      <c r="K29" s="223" t="s">
        <v>471</v>
      </c>
      <c r="L29" s="223" t="s">
        <v>679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26">
        <v>42304</v>
      </c>
      <c r="C47" s="530">
        <v>5100</v>
      </c>
      <c r="D47" s="577">
        <v>17.29</v>
      </c>
      <c r="E47" s="531">
        <v>16.68</v>
      </c>
      <c r="F47" s="531">
        <f t="shared" ref="F47:F84" si="1">-C47*(D47-E47)</f>
        <v>-3110.9999999999973</v>
      </c>
      <c r="G47" s="531">
        <f t="shared" ref="G47:G56" si="2">IF(C47=0, 0,D47*C47)</f>
        <v>88179</v>
      </c>
      <c r="H47" s="578">
        <f t="shared" ref="H47:H61" si="3">IF(C47=0, D47, (E47-D47)/D47)</f>
        <v>-3.5280508964719459E-2</v>
      </c>
      <c r="I47" s="531"/>
      <c r="J47" s="531"/>
      <c r="N47" s="4"/>
      <c r="S47" s="4"/>
      <c r="T47" s="4"/>
      <c r="U47" s="107"/>
    </row>
    <row r="48" spans="1:32" x14ac:dyDescent="0.25">
      <c r="B48" s="526">
        <v>42305</v>
      </c>
      <c r="C48" s="530">
        <v>4900</v>
      </c>
      <c r="D48" s="577">
        <v>17.29</v>
      </c>
      <c r="E48" s="531">
        <v>16.920000000000002</v>
      </c>
      <c r="F48" s="531">
        <f t="shared" si="1"/>
        <v>-1812.9999999999875</v>
      </c>
      <c r="G48" s="531">
        <f t="shared" si="2"/>
        <v>84721</v>
      </c>
      <c r="H48" s="578">
        <f t="shared" si="3"/>
        <v>-2.1399652978600199E-2</v>
      </c>
      <c r="I48" s="531"/>
      <c r="J48" s="531"/>
      <c r="N48" s="4"/>
      <c r="S48" s="415"/>
      <c r="T48" s="415"/>
      <c r="U48" s="416"/>
    </row>
    <row r="49" spans="2:32" x14ac:dyDescent="0.25">
      <c r="B49" s="526">
        <v>42306</v>
      </c>
      <c r="C49" s="530">
        <v>5100</v>
      </c>
      <c r="D49" s="577">
        <v>17.25</v>
      </c>
      <c r="E49" s="531">
        <v>16.21</v>
      </c>
      <c r="F49" s="531">
        <f t="shared" si="1"/>
        <v>-5303.9999999999955</v>
      </c>
      <c r="G49" s="531">
        <f t="shared" si="2"/>
        <v>87975</v>
      </c>
      <c r="H49" s="578">
        <f t="shared" si="3"/>
        <v>-6.0289855072463719E-2</v>
      </c>
      <c r="I49" s="531"/>
      <c r="J49" s="531"/>
      <c r="N49" s="4"/>
      <c r="S49" s="4"/>
      <c r="T49" s="4"/>
      <c r="U49" s="227"/>
    </row>
    <row r="50" spans="2:32" x14ac:dyDescent="0.25">
      <c r="B50" s="526">
        <v>42311</v>
      </c>
      <c r="C50" s="530">
        <v>2710</v>
      </c>
      <c r="D50" s="577">
        <v>16.989999999999998</v>
      </c>
      <c r="E50" s="531">
        <v>17.84</v>
      </c>
      <c r="F50" s="531">
        <f t="shared" si="1"/>
        <v>2303.5000000000036</v>
      </c>
      <c r="G50" s="531">
        <f t="shared" si="2"/>
        <v>46042.899999999994</v>
      </c>
      <c r="H50" s="578">
        <f t="shared" si="3"/>
        <v>5.0029429075927105E-2</v>
      </c>
      <c r="I50" s="531"/>
      <c r="J50" s="531"/>
      <c r="N50" s="4"/>
      <c r="S50" s="4"/>
      <c r="T50" s="4"/>
      <c r="U50" s="227"/>
      <c r="AC50" s="228"/>
      <c r="AF50" s="228"/>
    </row>
    <row r="51" spans="2:32" x14ac:dyDescent="0.25">
      <c r="B51" s="526">
        <v>42312</v>
      </c>
      <c r="C51" s="530">
        <v>2902</v>
      </c>
      <c r="D51" s="577">
        <v>16.989999999999998</v>
      </c>
      <c r="E51" s="531">
        <v>17.440000000000001</v>
      </c>
      <c r="F51" s="531">
        <f t="shared" si="1"/>
        <v>1305.9000000000083</v>
      </c>
      <c r="G51" s="531">
        <f t="shared" si="2"/>
        <v>49304.979999999996</v>
      </c>
      <c r="H51" s="578">
        <f t="shared" si="3"/>
        <v>2.6486168334314473E-2</v>
      </c>
      <c r="I51" s="531"/>
      <c r="J51" s="531"/>
      <c r="N51" s="4"/>
      <c r="S51" s="4"/>
      <c r="T51" s="4"/>
      <c r="U51" s="227"/>
    </row>
    <row r="52" spans="2:32" x14ac:dyDescent="0.25">
      <c r="B52" s="526">
        <v>42313</v>
      </c>
      <c r="C52" s="530">
        <v>5710</v>
      </c>
      <c r="D52" s="577">
        <v>16.91</v>
      </c>
      <c r="E52" s="531">
        <v>16.510000000000002</v>
      </c>
      <c r="F52" s="531">
        <f t="shared" si="1"/>
        <v>-2283.9999999999918</v>
      </c>
      <c r="G52" s="531">
        <f t="shared" si="2"/>
        <v>96556.1</v>
      </c>
      <c r="H52" s="578">
        <f t="shared" si="3"/>
        <v>-2.3654642223536283E-2</v>
      </c>
      <c r="I52" s="531"/>
      <c r="J52" s="531"/>
      <c r="N52" s="4"/>
      <c r="S52" s="4"/>
      <c r="T52" s="4"/>
      <c r="U52" s="227"/>
    </row>
    <row r="53" spans="2:32" x14ac:dyDescent="0.25">
      <c r="B53" s="526">
        <v>42314</v>
      </c>
      <c r="C53" s="530">
        <v>4710</v>
      </c>
      <c r="D53" s="577">
        <v>16.95</v>
      </c>
      <c r="E53" s="531">
        <v>16.45</v>
      </c>
      <c r="F53" s="531">
        <f t="shared" si="1"/>
        <v>-2355</v>
      </c>
      <c r="G53" s="531">
        <f t="shared" si="2"/>
        <v>79834.5</v>
      </c>
      <c r="H53" s="578">
        <f t="shared" si="3"/>
        <v>-2.9498525073746312E-2</v>
      </c>
      <c r="I53" s="531"/>
      <c r="J53" s="531"/>
      <c r="N53" s="4"/>
      <c r="S53" s="4"/>
      <c r="T53" s="4"/>
      <c r="U53" s="227"/>
    </row>
    <row r="54" spans="2:32" x14ac:dyDescent="0.25">
      <c r="B54" s="526">
        <v>42317</v>
      </c>
      <c r="C54" s="530">
        <v>5060</v>
      </c>
      <c r="D54" s="577">
        <v>16.87</v>
      </c>
      <c r="E54" s="531">
        <v>15.84</v>
      </c>
      <c r="F54" s="531">
        <f t="shared" si="1"/>
        <v>-5211.8000000000056</v>
      </c>
      <c r="G54" s="531">
        <f t="shared" si="2"/>
        <v>85362.200000000012</v>
      </c>
      <c r="H54" s="578">
        <f t="shared" si="3"/>
        <v>-6.1055127445169E-2</v>
      </c>
      <c r="I54" s="531"/>
      <c r="J54" s="531"/>
      <c r="N54" s="4"/>
      <c r="S54" s="4"/>
      <c r="T54" s="4"/>
      <c r="U54" s="417"/>
      <c r="AC54" s="228"/>
      <c r="AF54" s="228"/>
    </row>
    <row r="55" spans="2:32" x14ac:dyDescent="0.25">
      <c r="B55" s="526">
        <v>42324</v>
      </c>
      <c r="C55" s="530">
        <v>6000</v>
      </c>
      <c r="D55" s="577">
        <v>16.54</v>
      </c>
      <c r="E55" s="531">
        <v>14.89</v>
      </c>
      <c r="F55" s="531">
        <f t="shared" si="1"/>
        <v>-9899.9999999999909</v>
      </c>
      <c r="G55" s="531">
        <f t="shared" si="2"/>
        <v>99240</v>
      </c>
      <c r="H55" s="578">
        <f t="shared" si="3"/>
        <v>-9.9758162031438849E-2</v>
      </c>
      <c r="I55" s="531"/>
      <c r="J55" s="531"/>
      <c r="N55" s="4"/>
      <c r="S55" s="4"/>
      <c r="T55" s="4"/>
      <c r="U55" s="107"/>
    </row>
    <row r="56" spans="2:32" x14ac:dyDescent="0.25">
      <c r="B56" s="526">
        <v>42325</v>
      </c>
      <c r="C56" s="530">
        <v>5060</v>
      </c>
      <c r="D56" s="577">
        <v>16.73</v>
      </c>
      <c r="E56" s="531">
        <v>15.28</v>
      </c>
      <c r="F56" s="531">
        <f t="shared" si="1"/>
        <v>-7337.0000000000055</v>
      </c>
      <c r="G56" s="531">
        <f t="shared" si="2"/>
        <v>84653.8</v>
      </c>
      <c r="H56" s="578">
        <f t="shared" si="3"/>
        <v>-8.6670651524208067E-2</v>
      </c>
      <c r="I56" s="531"/>
      <c r="J56" s="531"/>
      <c r="N56" s="4"/>
      <c r="S56" s="4"/>
      <c r="T56" s="4"/>
      <c r="U56" s="107"/>
    </row>
    <row r="57" spans="2:32" x14ac:dyDescent="0.25">
      <c r="B57" s="526">
        <v>42328</v>
      </c>
      <c r="C57" s="530">
        <v>6000</v>
      </c>
      <c r="D57" s="577">
        <v>16.52</v>
      </c>
      <c r="E57" s="531">
        <v>15.39</v>
      </c>
      <c r="F57" s="531">
        <f t="shared" si="1"/>
        <v>-6779.9999999999936</v>
      </c>
      <c r="G57" s="531">
        <f t="shared" ref="G57:G84" si="4">IF(C57=0, 0,D57*C57)</f>
        <v>99120</v>
      </c>
      <c r="H57" s="578">
        <f t="shared" si="3"/>
        <v>-6.8401937046004779E-2</v>
      </c>
      <c r="I57" s="531"/>
      <c r="J57" s="531"/>
      <c r="N57" s="4"/>
      <c r="S57" s="415"/>
      <c r="T57" s="415"/>
      <c r="U57" s="416"/>
    </row>
    <row r="58" spans="2:32" x14ac:dyDescent="0.25">
      <c r="B58" s="526">
        <v>42331</v>
      </c>
      <c r="C58" s="530">
        <v>5060</v>
      </c>
      <c r="D58" s="577">
        <v>16.68</v>
      </c>
      <c r="E58" s="531">
        <v>15.32</v>
      </c>
      <c r="F58" s="531">
        <f t="shared" si="1"/>
        <v>-6881.5999999999967</v>
      </c>
      <c r="G58" s="531">
        <f t="shared" si="4"/>
        <v>84400.8</v>
      </c>
      <c r="H58" s="578">
        <f t="shared" si="3"/>
        <v>-8.1534772182254162E-2</v>
      </c>
      <c r="I58" s="531"/>
      <c r="J58" s="531"/>
      <c r="N58" s="4"/>
      <c r="S58" s="4"/>
      <c r="T58" s="4"/>
      <c r="U58" s="227"/>
      <c r="AC58" s="228"/>
      <c r="AF58" s="228"/>
    </row>
    <row r="59" spans="2:32" x14ac:dyDescent="0.25">
      <c r="B59" s="526">
        <v>42338</v>
      </c>
      <c r="C59" s="530">
        <v>4710</v>
      </c>
      <c r="D59" s="577">
        <v>16.73</v>
      </c>
      <c r="E59" s="531">
        <v>15.93</v>
      </c>
      <c r="F59" s="531">
        <f t="shared" si="1"/>
        <v>-3768.0000000000032</v>
      </c>
      <c r="G59" s="531">
        <f t="shared" si="4"/>
        <v>78798.3</v>
      </c>
      <c r="H59" s="578">
        <f t="shared" si="3"/>
        <v>-4.7818290496114808E-2</v>
      </c>
      <c r="I59" s="531"/>
      <c r="J59" s="531"/>
      <c r="N59" s="4"/>
      <c r="S59" s="4"/>
      <c r="T59" s="4"/>
      <c r="U59" s="227"/>
    </row>
    <row r="60" spans="2:32" x14ac:dyDescent="0.25">
      <c r="B60" s="526">
        <v>42340</v>
      </c>
      <c r="C60" s="530">
        <v>5060</v>
      </c>
      <c r="D60" s="577">
        <v>16.670000000000002</v>
      </c>
      <c r="E60" s="531">
        <v>15.82</v>
      </c>
      <c r="F60" s="531">
        <f t="shared" si="1"/>
        <v>-4301.0000000000073</v>
      </c>
      <c r="G60" s="531">
        <f t="shared" si="4"/>
        <v>84350.200000000012</v>
      </c>
      <c r="H60" s="578">
        <f t="shared" si="3"/>
        <v>-5.0989802039592164E-2</v>
      </c>
      <c r="I60" s="531"/>
      <c r="J60" s="531"/>
      <c r="N60" s="4"/>
      <c r="S60" s="4"/>
      <c r="T60" s="4"/>
      <c r="U60" s="417"/>
    </row>
    <row r="61" spans="2:32" x14ac:dyDescent="0.25">
      <c r="B61" s="526">
        <v>42341</v>
      </c>
      <c r="C61" s="530">
        <v>5060</v>
      </c>
      <c r="D61" s="577">
        <v>16.64</v>
      </c>
      <c r="E61" s="531">
        <v>15.61</v>
      </c>
      <c r="F61" s="531">
        <f t="shared" si="1"/>
        <v>-5211.8000000000056</v>
      </c>
      <c r="G61" s="531">
        <f t="shared" si="4"/>
        <v>84198.400000000009</v>
      </c>
      <c r="H61" s="578">
        <f t="shared" si="3"/>
        <v>-6.1899038461538526E-2</v>
      </c>
      <c r="I61" s="531"/>
      <c r="J61" s="531"/>
      <c r="N61" s="4"/>
      <c r="S61" s="4"/>
      <c r="T61" s="4"/>
      <c r="U61" s="107"/>
    </row>
    <row r="62" spans="2:32" x14ac:dyDescent="0.25">
      <c r="B62" s="526">
        <v>42347</v>
      </c>
      <c r="C62" s="530">
        <v>5260</v>
      </c>
      <c r="D62" s="577">
        <v>16.559999999999999</v>
      </c>
      <c r="E62" s="531">
        <v>14.32</v>
      </c>
      <c r="F62" s="531">
        <f t="shared" si="1"/>
        <v>-11782.399999999992</v>
      </c>
      <c r="G62" s="531">
        <f t="shared" si="4"/>
        <v>87105.599999999991</v>
      </c>
      <c r="H62" s="578">
        <f t="shared" ref="H62:H84" si="5">IF(C62=0, D62, (E62-D62)/D62)</f>
        <v>-0.13526570048309169</v>
      </c>
      <c r="I62" s="531"/>
      <c r="J62" s="531"/>
      <c r="N62" s="4"/>
      <c r="S62" s="4"/>
      <c r="T62" s="4"/>
      <c r="U62" s="107"/>
    </row>
    <row r="63" spans="2:32" x14ac:dyDescent="0.25">
      <c r="B63" s="526">
        <v>42348</v>
      </c>
      <c r="C63" s="530">
        <v>5060</v>
      </c>
      <c r="D63" s="577">
        <v>16.63</v>
      </c>
      <c r="E63" s="531">
        <v>14.66</v>
      </c>
      <c r="F63" s="531">
        <f t="shared" si="1"/>
        <v>-9968.1999999999935</v>
      </c>
      <c r="G63" s="531">
        <f t="shared" si="4"/>
        <v>84147.799999999988</v>
      </c>
      <c r="H63" s="578">
        <f t="shared" si="5"/>
        <v>-0.11846061334936855</v>
      </c>
      <c r="I63" s="531"/>
      <c r="J63" s="531"/>
      <c r="N63" s="4"/>
      <c r="S63" s="4"/>
      <c r="T63" s="4"/>
      <c r="U63" s="107"/>
    </row>
    <row r="64" spans="2:32" x14ac:dyDescent="0.25">
      <c r="B64" s="526">
        <v>42349</v>
      </c>
      <c r="C64" s="530">
        <v>5060</v>
      </c>
      <c r="D64" s="577">
        <v>16.62</v>
      </c>
      <c r="E64" s="531">
        <v>14.04</v>
      </c>
      <c r="F64" s="531">
        <f t="shared" si="1"/>
        <v>-13054.80000000001</v>
      </c>
      <c r="G64" s="531">
        <f t="shared" si="4"/>
        <v>84097.200000000012</v>
      </c>
      <c r="H64" s="578">
        <f t="shared" si="5"/>
        <v>-0.15523465703971129</v>
      </c>
      <c r="I64" s="531"/>
      <c r="J64" s="531"/>
      <c r="N64" s="4"/>
    </row>
    <row r="65" spans="2:18" x14ac:dyDescent="0.25">
      <c r="B65" s="526">
        <v>42349</v>
      </c>
      <c r="C65" s="530">
        <v>6000</v>
      </c>
      <c r="D65" s="577">
        <v>16.22</v>
      </c>
      <c r="E65" s="531">
        <v>14.04</v>
      </c>
      <c r="F65" s="531">
        <f t="shared" si="1"/>
        <v>-13079.999999999998</v>
      </c>
      <c r="G65" s="531">
        <f t="shared" si="4"/>
        <v>97320</v>
      </c>
      <c r="H65" s="578">
        <f t="shared" si="5"/>
        <v>-0.13440197287299629</v>
      </c>
      <c r="I65" s="531"/>
      <c r="J65" s="531"/>
      <c r="N65" s="4"/>
    </row>
    <row r="66" spans="2:18" x14ac:dyDescent="0.25">
      <c r="B66" s="526">
        <v>42349</v>
      </c>
      <c r="C66" s="530">
        <v>6200</v>
      </c>
      <c r="D66" s="577">
        <v>16.14</v>
      </c>
      <c r="E66" s="531">
        <v>14.04</v>
      </c>
      <c r="F66" s="531">
        <f t="shared" si="1"/>
        <v>-13020.000000000009</v>
      </c>
      <c r="G66" s="531">
        <f t="shared" si="4"/>
        <v>100068</v>
      </c>
      <c r="H66" s="578">
        <f t="shared" si="5"/>
        <v>-0.13011152416356886</v>
      </c>
      <c r="I66" s="531"/>
      <c r="J66" s="531"/>
      <c r="N66" s="4"/>
    </row>
    <row r="67" spans="2:18" x14ac:dyDescent="0.25">
      <c r="B67" s="526">
        <v>42349</v>
      </c>
      <c r="C67" s="530">
        <v>5721</v>
      </c>
      <c r="D67" s="577">
        <v>16.32</v>
      </c>
      <c r="E67" s="531">
        <v>14.04</v>
      </c>
      <c r="F67" s="531">
        <f t="shared" si="1"/>
        <v>-13043.880000000006</v>
      </c>
      <c r="G67" s="531">
        <f t="shared" si="4"/>
        <v>93366.720000000001</v>
      </c>
      <c r="H67" s="578">
        <f t="shared" si="5"/>
        <v>-0.13970588235294124</v>
      </c>
      <c r="I67" s="531"/>
      <c r="J67" s="531"/>
      <c r="N67" s="4"/>
      <c r="O67" s="4"/>
      <c r="P67" s="4"/>
      <c r="Q67" s="4"/>
      <c r="R67" s="4"/>
    </row>
    <row r="68" spans="2:18" x14ac:dyDescent="0.25">
      <c r="B68" s="526">
        <v>42349</v>
      </c>
      <c r="C68" s="530">
        <v>5060</v>
      </c>
      <c r="D68" s="577">
        <v>16.6143</v>
      </c>
      <c r="E68" s="531">
        <v>14.04</v>
      </c>
      <c r="F68" s="531">
        <f t="shared" si="1"/>
        <v>-13025.958000000004</v>
      </c>
      <c r="G68" s="531">
        <f t="shared" si="4"/>
        <v>84068.358000000007</v>
      </c>
      <c r="H68" s="578">
        <f t="shared" si="5"/>
        <v>-0.15494483667683867</v>
      </c>
      <c r="I68" s="531"/>
      <c r="J68" s="531"/>
      <c r="O68" s="415"/>
      <c r="P68" s="4"/>
      <c r="Q68" s="4"/>
      <c r="R68" s="4"/>
    </row>
    <row r="69" spans="2:18" x14ac:dyDescent="0.25">
      <c r="B69" s="526">
        <v>42356</v>
      </c>
      <c r="C69" s="530">
        <v>5060</v>
      </c>
      <c r="D69" s="577">
        <v>16.596900000000002</v>
      </c>
      <c r="E69" s="531">
        <v>14.32</v>
      </c>
      <c r="F69" s="531">
        <f t="shared" si="1"/>
        <v>-11521.114000000007</v>
      </c>
      <c r="G69" s="531">
        <f t="shared" si="4"/>
        <v>83980.314000000013</v>
      </c>
      <c r="H69" s="578">
        <f t="shared" si="5"/>
        <v>-0.13718827009863294</v>
      </c>
      <c r="I69" s="531"/>
      <c r="J69" s="531"/>
      <c r="Q69" s="415"/>
      <c r="R69" s="415"/>
    </row>
    <row r="70" spans="2:18" x14ac:dyDescent="0.25">
      <c r="B70" s="526">
        <v>42356</v>
      </c>
      <c r="C70" s="530">
        <v>7000</v>
      </c>
      <c r="D70" s="577">
        <v>15.97</v>
      </c>
      <c r="E70" s="531">
        <v>14.34</v>
      </c>
      <c r="F70" s="531">
        <f t="shared" si="1"/>
        <v>-11410.000000000005</v>
      </c>
      <c r="G70" s="531">
        <f t="shared" si="4"/>
        <v>111790</v>
      </c>
      <c r="H70" s="578">
        <f t="shared" si="5"/>
        <v>-0.10206637445209772</v>
      </c>
      <c r="I70" s="531"/>
      <c r="J70" s="531"/>
      <c r="Q70" s="4"/>
      <c r="R70" s="4"/>
    </row>
    <row r="71" spans="2:18" x14ac:dyDescent="0.25">
      <c r="B71" s="526">
        <v>42356</v>
      </c>
      <c r="C71" s="530">
        <v>6000</v>
      </c>
      <c r="D71" s="577">
        <v>16.23</v>
      </c>
      <c r="E71" s="531">
        <v>14.36</v>
      </c>
      <c r="F71" s="531">
        <f t="shared" si="1"/>
        <v>-11220.000000000005</v>
      </c>
      <c r="G71" s="531">
        <f t="shared" si="4"/>
        <v>97380</v>
      </c>
      <c r="H71" s="578">
        <f t="shared" si="5"/>
        <v>-0.11521873074553302</v>
      </c>
      <c r="I71" s="531"/>
      <c r="J71" s="531"/>
      <c r="Q71" s="4"/>
      <c r="R71" s="4"/>
    </row>
    <row r="72" spans="2:18" x14ac:dyDescent="0.25">
      <c r="B72" s="526">
        <v>42357</v>
      </c>
      <c r="C72" s="530">
        <v>5500</v>
      </c>
      <c r="D72" s="577">
        <v>16.398399999999999</v>
      </c>
      <c r="E72" s="531">
        <v>14.36</v>
      </c>
      <c r="F72" s="531">
        <f t="shared" si="1"/>
        <v>-11211.199999999997</v>
      </c>
      <c r="G72" s="531">
        <f t="shared" si="4"/>
        <v>90191.2</v>
      </c>
      <c r="H72" s="578">
        <f t="shared" si="5"/>
        <v>-0.12430481022538781</v>
      </c>
      <c r="I72" s="531"/>
      <c r="J72" s="531"/>
      <c r="Q72" s="4"/>
      <c r="R72" s="4"/>
    </row>
    <row r="73" spans="2:18" x14ac:dyDescent="0.25">
      <c r="B73" s="526">
        <v>42359</v>
      </c>
      <c r="C73" s="530">
        <v>5060</v>
      </c>
      <c r="D73" s="577">
        <v>16.55</v>
      </c>
      <c r="E73" s="531">
        <v>14.64</v>
      </c>
      <c r="F73" s="531">
        <f t="shared" si="1"/>
        <v>-9664.6</v>
      </c>
      <c r="G73" s="531">
        <f t="shared" si="4"/>
        <v>83743</v>
      </c>
      <c r="H73" s="578">
        <f t="shared" si="5"/>
        <v>-0.11540785498489427</v>
      </c>
      <c r="I73" s="531"/>
      <c r="J73" s="531"/>
      <c r="Q73" s="4"/>
      <c r="R73" s="4"/>
    </row>
    <row r="74" spans="2:18" x14ac:dyDescent="0.25">
      <c r="B74" s="526">
        <v>42361</v>
      </c>
      <c r="C74" s="530">
        <v>5060</v>
      </c>
      <c r="D74" s="577">
        <v>16.5456</v>
      </c>
      <c r="E74" s="531">
        <v>14.61</v>
      </c>
      <c r="F74" s="531">
        <f t="shared" si="1"/>
        <v>-9794.1360000000041</v>
      </c>
      <c r="G74" s="531">
        <f t="shared" si="4"/>
        <v>83720.736000000004</v>
      </c>
      <c r="H74" s="578">
        <f t="shared" si="5"/>
        <v>-0.11698578474035398</v>
      </c>
      <c r="I74" s="531"/>
      <c r="J74" s="531"/>
      <c r="Q74" s="4"/>
      <c r="R74" s="4"/>
    </row>
    <row r="75" spans="2:18" x14ac:dyDescent="0.25">
      <c r="B75" s="526">
        <v>42377</v>
      </c>
      <c r="C75" s="530">
        <v>5260</v>
      </c>
      <c r="D75" s="577">
        <v>16.424099999999999</v>
      </c>
      <c r="E75" s="531">
        <v>13.33</v>
      </c>
      <c r="F75" s="531">
        <f t="shared" si="1"/>
        <v>-16274.965999999995</v>
      </c>
      <c r="G75" s="531">
        <f t="shared" si="4"/>
        <v>86390.766000000003</v>
      </c>
      <c r="H75" s="578">
        <f t="shared" si="5"/>
        <v>-0.18838779598273264</v>
      </c>
      <c r="I75" s="531"/>
      <c r="J75" s="531"/>
      <c r="Q75" s="4"/>
      <c r="R75" s="4"/>
    </row>
    <row r="76" spans="2:18" x14ac:dyDescent="0.25">
      <c r="B76" s="526">
        <v>42398</v>
      </c>
      <c r="C76" s="530">
        <v>5000</v>
      </c>
      <c r="D76" s="577">
        <v>16.72</v>
      </c>
      <c r="E76" s="531">
        <v>10.74</v>
      </c>
      <c r="F76" s="531">
        <f t="shared" si="1"/>
        <v>-29899.999999999993</v>
      </c>
      <c r="G76" s="531">
        <f t="shared" si="4"/>
        <v>83600</v>
      </c>
      <c r="H76" s="578">
        <f t="shared" si="5"/>
        <v>-0.35765550239234445</v>
      </c>
      <c r="I76" s="531"/>
      <c r="J76" s="531"/>
      <c r="Q76" s="4"/>
      <c r="R76" s="4"/>
    </row>
    <row r="77" spans="2:18" x14ac:dyDescent="0.25">
      <c r="B77" s="526">
        <v>42401</v>
      </c>
      <c r="C77" s="530">
        <v>5260</v>
      </c>
      <c r="D77" s="577">
        <v>16.419699999999999</v>
      </c>
      <c r="E77" s="531">
        <v>10.96</v>
      </c>
      <c r="F77" s="531">
        <f t="shared" si="1"/>
        <v>-28718.02199999999</v>
      </c>
      <c r="G77" s="531">
        <f t="shared" si="4"/>
        <v>86367.621999999988</v>
      </c>
      <c r="H77" s="578">
        <f t="shared" si="5"/>
        <v>-0.33250912014226802</v>
      </c>
      <c r="I77" s="531"/>
      <c r="J77" s="531"/>
      <c r="Q77" s="4"/>
      <c r="R77" s="4"/>
    </row>
    <row r="78" spans="2:18" x14ac:dyDescent="0.25">
      <c r="B78" s="526">
        <v>42416</v>
      </c>
      <c r="C78" s="530">
        <v>4760</v>
      </c>
      <c r="D78" s="577">
        <v>17.02</v>
      </c>
      <c r="E78" s="531">
        <v>10.65</v>
      </c>
      <c r="F78" s="531">
        <f t="shared" si="1"/>
        <v>-30321.199999999997</v>
      </c>
      <c r="G78" s="531">
        <f t="shared" si="4"/>
        <v>81015.199999999997</v>
      </c>
      <c r="H78" s="578">
        <f t="shared" si="5"/>
        <v>-0.37426556991774379</v>
      </c>
      <c r="I78" s="531"/>
      <c r="J78" s="531"/>
      <c r="Q78" s="415"/>
      <c r="R78" s="415"/>
    </row>
    <row r="79" spans="2:18" x14ac:dyDescent="0.25">
      <c r="B79" s="526">
        <v>42416</v>
      </c>
      <c r="C79" s="530">
        <v>4000</v>
      </c>
      <c r="D79" s="577">
        <v>18.1967</v>
      </c>
      <c r="E79" s="531">
        <v>10.744999999999999</v>
      </c>
      <c r="F79" s="531">
        <f t="shared" si="1"/>
        <v>-29806.800000000003</v>
      </c>
      <c r="G79" s="531">
        <f t="shared" si="4"/>
        <v>72786.8</v>
      </c>
      <c r="H79" s="578">
        <f t="shared" si="5"/>
        <v>-0.40950831744217364</v>
      </c>
      <c r="I79" s="531"/>
      <c r="J79" s="531"/>
      <c r="Q79" s="4"/>
      <c r="R79" s="4"/>
    </row>
    <row r="80" spans="2:18" x14ac:dyDescent="0.25">
      <c r="B80" s="526">
        <v>42418</v>
      </c>
      <c r="C80" s="530">
        <v>3600</v>
      </c>
      <c r="D80" s="577">
        <v>18.931999999999999</v>
      </c>
      <c r="E80" s="531">
        <v>10.81</v>
      </c>
      <c r="F80" s="531">
        <f t="shared" si="1"/>
        <v>-29239.199999999993</v>
      </c>
      <c r="G80" s="531">
        <f t="shared" si="4"/>
        <v>68155.199999999997</v>
      </c>
      <c r="H80" s="578">
        <f t="shared" si="5"/>
        <v>-0.42900908514684127</v>
      </c>
      <c r="I80" s="531"/>
      <c r="J80" s="531"/>
      <c r="Q80" s="4"/>
      <c r="R80" s="4"/>
    </row>
    <row r="81" spans="2:18" x14ac:dyDescent="0.25">
      <c r="B81" s="526">
        <v>42423</v>
      </c>
      <c r="C81" s="530">
        <v>5260</v>
      </c>
      <c r="D81" s="577">
        <v>16.356200000000001</v>
      </c>
      <c r="E81" s="531">
        <v>10.49</v>
      </c>
      <c r="F81" s="531">
        <f t="shared" si="1"/>
        <v>-30856.212000000007</v>
      </c>
      <c r="G81" s="531">
        <f t="shared" si="4"/>
        <v>86033.612000000008</v>
      </c>
      <c r="H81" s="578">
        <f t="shared" si="5"/>
        <v>-0.35865298785781541</v>
      </c>
      <c r="I81" s="531"/>
      <c r="J81" s="531"/>
      <c r="Q81" s="4"/>
      <c r="R81" s="4"/>
    </row>
    <row r="82" spans="2:18" x14ac:dyDescent="0.25">
      <c r="B82" s="526">
        <v>42431</v>
      </c>
      <c r="C82" s="530">
        <v>4760</v>
      </c>
      <c r="D82" s="577">
        <v>16.858899999999998</v>
      </c>
      <c r="E82" s="531">
        <v>11.68</v>
      </c>
      <c r="F82" s="531">
        <f t="shared" si="1"/>
        <v>-24651.563999999995</v>
      </c>
      <c r="G82" s="531">
        <f t="shared" si="4"/>
        <v>80248.363999999987</v>
      </c>
      <c r="H82" s="578">
        <f t="shared" si="5"/>
        <v>-0.30719086061368173</v>
      </c>
      <c r="I82" s="531"/>
      <c r="J82" s="531"/>
      <c r="Q82" s="4"/>
      <c r="R82" s="4"/>
    </row>
    <row r="83" spans="2:18" x14ac:dyDescent="0.25">
      <c r="B83" s="526">
        <v>42436</v>
      </c>
      <c r="C83" s="530">
        <v>5290</v>
      </c>
      <c r="D83" s="577">
        <v>16.258900000000001</v>
      </c>
      <c r="E83" s="531">
        <v>11.58</v>
      </c>
      <c r="F83" s="531">
        <f t="shared" si="1"/>
        <v>-24751.381000000001</v>
      </c>
      <c r="G83" s="531">
        <f t="shared" si="4"/>
        <v>86009.581000000006</v>
      </c>
      <c r="H83" s="578">
        <f t="shared" si="5"/>
        <v>-0.28777469570512154</v>
      </c>
      <c r="I83" s="531"/>
      <c r="J83" s="531"/>
      <c r="Q83" s="4"/>
      <c r="R83" s="4"/>
    </row>
    <row r="84" spans="2:18" x14ac:dyDescent="0.25">
      <c r="B84" s="526">
        <v>42444</v>
      </c>
      <c r="C84" s="530">
        <v>5290</v>
      </c>
      <c r="D84" s="577">
        <v>16.259</v>
      </c>
      <c r="E84" s="531">
        <v>10.85</v>
      </c>
      <c r="F84" s="531">
        <f t="shared" si="1"/>
        <v>-28613.610000000004</v>
      </c>
      <c r="G84" s="531">
        <f t="shared" si="4"/>
        <v>86010.11</v>
      </c>
      <c r="H84" s="578">
        <f t="shared" si="5"/>
        <v>-0.33267728642597949</v>
      </c>
      <c r="I84" s="531"/>
      <c r="J84" s="531"/>
      <c r="Q84" s="4"/>
      <c r="R84" s="4"/>
    </row>
    <row r="85" spans="2:18" x14ac:dyDescent="0.25">
      <c r="B85" s="526">
        <v>42446</v>
      </c>
      <c r="C85" s="530">
        <v>5295</v>
      </c>
      <c r="D85" s="577">
        <v>16.2348</v>
      </c>
      <c r="E85" s="531">
        <v>10.87</v>
      </c>
      <c r="F85" s="531">
        <f t="shared" ref="F85:F123" si="6">-C85*(D85-E85)</f>
        <v>-28406.616000000002</v>
      </c>
      <c r="G85" s="531">
        <f t="shared" ref="G85:G123" si="7">IF(C85=0, 0,D85*C85)</f>
        <v>85963.266000000003</v>
      </c>
      <c r="H85" s="578">
        <f t="shared" ref="H85:H123" si="8">IF(C85=0, D85, (E85-D85)/D85)</f>
        <v>-0.33045063690344201</v>
      </c>
      <c r="I85" s="531"/>
      <c r="J85" s="531"/>
    </row>
    <row r="86" spans="2:18" x14ac:dyDescent="0.25">
      <c r="B86" s="526">
        <v>42447</v>
      </c>
      <c r="C86" s="530">
        <v>5300</v>
      </c>
      <c r="D86" s="577">
        <v>16.211200000000002</v>
      </c>
      <c r="E86" s="531">
        <v>11.07</v>
      </c>
      <c r="F86" s="531">
        <f t="shared" si="6"/>
        <v>-27248.360000000008</v>
      </c>
      <c r="G86" s="531">
        <f t="shared" si="7"/>
        <v>85919.360000000015</v>
      </c>
      <c r="H86" s="578">
        <f t="shared" si="8"/>
        <v>-0.31713876825898152</v>
      </c>
      <c r="I86" s="531"/>
      <c r="J86" s="531"/>
    </row>
    <row r="87" spans="2:18" x14ac:dyDescent="0.25">
      <c r="B87" s="526">
        <v>42447</v>
      </c>
      <c r="C87" s="530">
        <v>5155</v>
      </c>
      <c r="D87" s="577">
        <v>16.352699999999999</v>
      </c>
      <c r="E87" s="531">
        <v>11.14</v>
      </c>
      <c r="F87" s="531">
        <f t="shared" si="6"/>
        <v>-26871.468499999992</v>
      </c>
      <c r="G87" s="531">
        <f t="shared" si="7"/>
        <v>84298.1685</v>
      </c>
      <c r="H87" s="578">
        <f t="shared" si="8"/>
        <v>-0.31876693145474438</v>
      </c>
      <c r="I87" s="531"/>
      <c r="J87" s="531"/>
    </row>
    <row r="88" spans="2:18" x14ac:dyDescent="0.25">
      <c r="B88" s="526">
        <v>42450</v>
      </c>
      <c r="C88" s="530">
        <v>3955</v>
      </c>
      <c r="D88" s="577">
        <v>17.7959</v>
      </c>
      <c r="E88" s="531">
        <v>11.54</v>
      </c>
      <c r="F88" s="531">
        <f t="shared" si="6"/>
        <v>-24742.084500000001</v>
      </c>
      <c r="G88" s="531">
        <f t="shared" si="7"/>
        <v>70382.784499999994</v>
      </c>
      <c r="H88" s="578">
        <f t="shared" si="8"/>
        <v>-0.3515360279614968</v>
      </c>
      <c r="I88" s="531"/>
      <c r="J88" s="531"/>
      <c r="N88" s="4"/>
    </row>
    <row r="89" spans="2:18" x14ac:dyDescent="0.25">
      <c r="B89" s="526">
        <v>42451</v>
      </c>
      <c r="C89" s="530">
        <v>5260</v>
      </c>
      <c r="D89" s="577">
        <v>16.2089</v>
      </c>
      <c r="E89" s="531">
        <v>11.44</v>
      </c>
      <c r="F89" s="531">
        <f t="shared" si="6"/>
        <v>-25084.414000000001</v>
      </c>
      <c r="G89" s="531">
        <f t="shared" si="7"/>
        <v>85258.813999999998</v>
      </c>
      <c r="H89" s="578">
        <f t="shared" si="8"/>
        <v>-0.29421490662537253</v>
      </c>
      <c r="I89" s="579"/>
      <c r="J89" s="579"/>
    </row>
    <row r="90" spans="2:18" x14ac:dyDescent="0.25">
      <c r="B90" s="526">
        <v>42451</v>
      </c>
      <c r="C90" s="530">
        <v>5360</v>
      </c>
      <c r="D90" s="577">
        <v>16.1083</v>
      </c>
      <c r="E90" s="531">
        <v>10.65</v>
      </c>
      <c r="F90" s="531">
        <f t="shared" si="6"/>
        <v>-29256.487999999998</v>
      </c>
      <c r="G90" s="531">
        <f t="shared" si="7"/>
        <v>86340.487999999998</v>
      </c>
      <c r="H90" s="578">
        <f t="shared" si="8"/>
        <v>-0.33885015799308427</v>
      </c>
      <c r="I90" s="579"/>
      <c r="J90" s="579"/>
    </row>
    <row r="91" spans="2:18" x14ac:dyDescent="0.25">
      <c r="B91" s="526">
        <v>42461</v>
      </c>
      <c r="C91" s="530">
        <v>5260</v>
      </c>
      <c r="D91" s="577">
        <v>16.207000000000001</v>
      </c>
      <c r="E91" s="531">
        <v>10.92</v>
      </c>
      <c r="F91" s="531">
        <f t="shared" si="6"/>
        <v>-27809.620000000003</v>
      </c>
      <c r="G91" s="531">
        <f t="shared" si="7"/>
        <v>85248.82</v>
      </c>
      <c r="H91" s="578">
        <f t="shared" si="8"/>
        <v>-0.32621706669957429</v>
      </c>
      <c r="I91" s="531"/>
      <c r="J91" s="531"/>
    </row>
    <row r="92" spans="2:18" x14ac:dyDescent="0.25">
      <c r="B92" s="526">
        <v>42465</v>
      </c>
      <c r="C92" s="530">
        <v>5260</v>
      </c>
      <c r="D92" s="577">
        <v>16.207000000000001</v>
      </c>
      <c r="E92" s="531">
        <v>10.4</v>
      </c>
      <c r="F92" s="531">
        <f t="shared" si="6"/>
        <v>-30544.820000000003</v>
      </c>
      <c r="G92" s="531">
        <f t="shared" si="7"/>
        <v>85248.82</v>
      </c>
      <c r="H92" s="578">
        <f t="shared" si="8"/>
        <v>-0.3583019682853088</v>
      </c>
      <c r="I92" s="531"/>
      <c r="J92" s="531"/>
    </row>
    <row r="93" spans="2:18" x14ac:dyDescent="0.25">
      <c r="B93" s="526">
        <v>42467</v>
      </c>
      <c r="C93" s="530">
        <v>5760</v>
      </c>
      <c r="D93" s="577">
        <v>15.703799999999999</v>
      </c>
      <c r="E93" s="531">
        <v>10.4</v>
      </c>
      <c r="F93" s="531">
        <f t="shared" si="6"/>
        <v>-30549.887999999995</v>
      </c>
      <c r="G93" s="531">
        <f t="shared" si="7"/>
        <v>90453.887999999992</v>
      </c>
      <c r="H93" s="578">
        <f t="shared" si="8"/>
        <v>-0.33773991008545695</v>
      </c>
      <c r="I93" s="531"/>
      <c r="J93" s="531"/>
    </row>
    <row r="94" spans="2:18" x14ac:dyDescent="0.25">
      <c r="B94" s="526">
        <v>42468</v>
      </c>
      <c r="C94" s="530">
        <v>5260</v>
      </c>
      <c r="D94" s="577">
        <v>16.167100000000001</v>
      </c>
      <c r="E94" s="531">
        <v>10.76</v>
      </c>
      <c r="F94" s="531">
        <f t="shared" si="6"/>
        <v>-28441.346000000009</v>
      </c>
      <c r="G94" s="531">
        <f t="shared" si="7"/>
        <v>85038.946000000011</v>
      </c>
      <c r="H94" s="578">
        <f t="shared" si="8"/>
        <v>-0.33445082915303309</v>
      </c>
      <c r="I94" s="579" t="s">
        <v>192</v>
      </c>
      <c r="J94" s="579"/>
    </row>
    <row r="95" spans="2:18" x14ac:dyDescent="0.25">
      <c r="B95" s="526">
        <v>42472</v>
      </c>
      <c r="C95" s="530">
        <v>5860</v>
      </c>
      <c r="D95" s="577">
        <v>15.567399999999999</v>
      </c>
      <c r="E95" s="531">
        <v>10.17</v>
      </c>
      <c r="F95" s="531">
        <f t="shared" si="6"/>
        <v>-31628.763999999996</v>
      </c>
      <c r="G95" s="531">
        <f t="shared" si="7"/>
        <v>91224.963999999993</v>
      </c>
      <c r="H95" s="578">
        <f t="shared" si="8"/>
        <v>-0.34671171807752094</v>
      </c>
      <c r="I95" s="531"/>
      <c r="J95" s="531"/>
    </row>
    <row r="96" spans="2:18" x14ac:dyDescent="0.25">
      <c r="B96" s="526">
        <v>42473</v>
      </c>
      <c r="C96" s="530">
        <v>5260</v>
      </c>
      <c r="D96" s="577">
        <v>16.1158</v>
      </c>
      <c r="E96" s="531">
        <v>10.88</v>
      </c>
      <c r="F96" s="531">
        <f t="shared" si="6"/>
        <v>-27540.307999999997</v>
      </c>
      <c r="G96" s="531">
        <f t="shared" si="7"/>
        <v>84769.108000000007</v>
      </c>
      <c r="H96" s="578">
        <f t="shared" si="8"/>
        <v>-0.32488613658645549</v>
      </c>
      <c r="I96" s="531"/>
      <c r="J96" s="531"/>
    </row>
    <row r="97" spans="2:16" x14ac:dyDescent="0.25">
      <c r="B97" s="526">
        <v>42484</v>
      </c>
      <c r="C97" s="530">
        <v>5260</v>
      </c>
      <c r="D97" s="577">
        <v>16.1158</v>
      </c>
      <c r="E97" s="531">
        <v>10.66</v>
      </c>
      <c r="F97" s="531">
        <f t="shared" si="6"/>
        <v>-28697.508000000002</v>
      </c>
      <c r="G97" s="531">
        <f t="shared" si="7"/>
        <v>84769.108000000007</v>
      </c>
      <c r="H97" s="578">
        <f t="shared" si="8"/>
        <v>-0.33853733603047942</v>
      </c>
      <c r="I97" s="531"/>
      <c r="J97" s="531"/>
    </row>
    <row r="98" spans="2:16" x14ac:dyDescent="0.25">
      <c r="B98" s="526">
        <v>42486</v>
      </c>
      <c r="C98" s="530">
        <v>4260</v>
      </c>
      <c r="D98" s="577">
        <v>17.2287</v>
      </c>
      <c r="E98" s="531">
        <v>11.51</v>
      </c>
      <c r="F98" s="531">
        <f t="shared" si="6"/>
        <v>-24361.662</v>
      </c>
      <c r="G98" s="531">
        <f t="shared" si="7"/>
        <v>73394.262000000002</v>
      </c>
      <c r="H98" s="578">
        <f t="shared" si="8"/>
        <v>-0.33192870036624933</v>
      </c>
      <c r="I98" s="531"/>
      <c r="J98" s="531"/>
    </row>
    <row r="99" spans="2:16" x14ac:dyDescent="0.25">
      <c r="B99" s="526">
        <v>42487</v>
      </c>
      <c r="C99" s="530">
        <v>5260</v>
      </c>
      <c r="D99" s="577">
        <v>16.099699999999999</v>
      </c>
      <c r="E99" s="531">
        <v>11.56</v>
      </c>
      <c r="F99" s="531">
        <f t="shared" si="6"/>
        <v>-23878.821999999989</v>
      </c>
      <c r="G99" s="531">
        <f t="shared" si="7"/>
        <v>84684.421999999991</v>
      </c>
      <c r="H99" s="578">
        <f t="shared" si="8"/>
        <v>-0.28197419827698644</v>
      </c>
      <c r="I99" s="531"/>
      <c r="J99" s="531"/>
      <c r="O99" s="4"/>
      <c r="P99" s="234"/>
    </row>
    <row r="100" spans="2:16" x14ac:dyDescent="0.25">
      <c r="B100" s="526">
        <v>42488</v>
      </c>
      <c r="C100" s="530">
        <v>5260</v>
      </c>
      <c r="D100" s="577">
        <v>16.078399999999998</v>
      </c>
      <c r="E100" s="531">
        <v>11.62</v>
      </c>
      <c r="F100" s="531">
        <f t="shared" si="6"/>
        <v>-23451.183999999997</v>
      </c>
      <c r="G100" s="531">
        <f t="shared" si="7"/>
        <v>84572.383999999991</v>
      </c>
      <c r="H100" s="578">
        <f t="shared" si="8"/>
        <v>-0.27729127276345905</v>
      </c>
      <c r="I100" s="531"/>
      <c r="J100" s="531"/>
      <c r="O100" s="4"/>
      <c r="P100" s="4"/>
    </row>
    <row r="101" spans="2:16" x14ac:dyDescent="0.25">
      <c r="B101" s="526">
        <v>42489</v>
      </c>
      <c r="C101" s="530">
        <v>5500</v>
      </c>
      <c r="D101" s="577">
        <v>15.848599999999999</v>
      </c>
      <c r="E101" s="531">
        <v>10.75</v>
      </c>
      <c r="F101" s="531">
        <f t="shared" si="6"/>
        <v>-28042.299999999996</v>
      </c>
      <c r="G101" s="531">
        <f t="shared" si="7"/>
        <v>87167.3</v>
      </c>
      <c r="H101" s="578">
        <f t="shared" si="8"/>
        <v>-0.32170664916774983</v>
      </c>
      <c r="I101" s="531"/>
      <c r="J101" s="531"/>
      <c r="O101" s="4"/>
      <c r="P101" s="4"/>
    </row>
    <row r="102" spans="2:16" x14ac:dyDescent="0.25">
      <c r="B102" s="526">
        <v>42494</v>
      </c>
      <c r="C102" s="530">
        <v>6500</v>
      </c>
      <c r="D102" s="577">
        <v>14.9526</v>
      </c>
      <c r="E102" s="531">
        <v>10</v>
      </c>
      <c r="F102" s="531">
        <f t="shared" si="6"/>
        <v>-32191.9</v>
      </c>
      <c r="G102" s="531">
        <f t="shared" si="7"/>
        <v>97191.900000000009</v>
      </c>
      <c r="H102" s="578">
        <f t="shared" si="8"/>
        <v>-0.33121998849698381</v>
      </c>
      <c r="I102" s="531"/>
      <c r="J102" s="531"/>
    </row>
    <row r="103" spans="2:16" x14ac:dyDescent="0.25">
      <c r="B103" s="526">
        <v>42495</v>
      </c>
      <c r="C103" s="530">
        <v>5500</v>
      </c>
      <c r="D103" s="577">
        <v>15.7966</v>
      </c>
      <c r="E103" s="531">
        <v>10.06</v>
      </c>
      <c r="F103" s="531">
        <f t="shared" si="6"/>
        <v>-31551.299999999996</v>
      </c>
      <c r="G103" s="531">
        <f t="shared" si="7"/>
        <v>86881.3</v>
      </c>
      <c r="H103" s="578">
        <f t="shared" si="8"/>
        <v>-0.363154096451135</v>
      </c>
      <c r="I103" s="531"/>
      <c r="J103" s="531"/>
    </row>
    <row r="104" spans="2:16" x14ac:dyDescent="0.25">
      <c r="B104" s="526">
        <v>42502</v>
      </c>
      <c r="C104" s="530">
        <v>8500</v>
      </c>
      <c r="D104" s="577">
        <v>13.6378</v>
      </c>
      <c r="E104" s="531">
        <v>9.6199999999999992</v>
      </c>
      <c r="F104" s="531">
        <f t="shared" si="6"/>
        <v>-34151.30000000001</v>
      </c>
      <c r="G104" s="531">
        <f t="shared" si="7"/>
        <v>115921.3</v>
      </c>
      <c r="H104" s="578">
        <f t="shared" si="8"/>
        <v>-0.2946076346624823</v>
      </c>
      <c r="I104" s="531"/>
      <c r="J104" s="531"/>
    </row>
    <row r="105" spans="2:16" x14ac:dyDescent="0.25">
      <c r="B105" s="526">
        <v>42503</v>
      </c>
      <c r="C105" s="530">
        <v>5500</v>
      </c>
      <c r="D105" s="577">
        <v>15.754899999999999</v>
      </c>
      <c r="E105" s="531">
        <v>9.58</v>
      </c>
      <c r="F105" s="531">
        <f t="shared" si="6"/>
        <v>-33961.949999999997</v>
      </c>
      <c r="G105" s="531">
        <f t="shared" si="7"/>
        <v>86651.95</v>
      </c>
      <c r="H105" s="578">
        <f t="shared" si="8"/>
        <v>-0.39193520745926663</v>
      </c>
      <c r="I105" s="531"/>
      <c r="J105" s="531"/>
    </row>
    <row r="106" spans="2:16" x14ac:dyDescent="0.25">
      <c r="B106" s="526">
        <v>42510</v>
      </c>
      <c r="C106" s="580">
        <v>5000</v>
      </c>
      <c r="D106" s="581">
        <v>16.255400000000002</v>
      </c>
      <c r="E106" s="531">
        <v>10.8</v>
      </c>
      <c r="F106" s="531">
        <f t="shared" si="6"/>
        <v>-27277.000000000004</v>
      </c>
      <c r="G106" s="531">
        <f t="shared" si="7"/>
        <v>81277.000000000015</v>
      </c>
      <c r="H106" s="578">
        <f t="shared" si="8"/>
        <v>-0.33560539882131479</v>
      </c>
      <c r="I106" s="531"/>
      <c r="J106" s="531"/>
    </row>
    <row r="107" spans="2:16" x14ac:dyDescent="0.25">
      <c r="B107" s="526">
        <v>42514</v>
      </c>
      <c r="C107" s="530">
        <v>4500</v>
      </c>
      <c r="D107" s="577">
        <v>16.752199999999998</v>
      </c>
      <c r="E107" s="531">
        <v>11.49</v>
      </c>
      <c r="F107" s="531">
        <f t="shared" si="6"/>
        <v>-23679.899999999991</v>
      </c>
      <c r="G107" s="531">
        <f t="shared" si="7"/>
        <v>75384.899999999994</v>
      </c>
      <c r="H107" s="578">
        <f t="shared" si="8"/>
        <v>-0.31411993648595399</v>
      </c>
      <c r="I107" s="531"/>
      <c r="J107" s="531"/>
    </row>
    <row r="108" spans="2:16" x14ac:dyDescent="0.25">
      <c r="B108" s="526">
        <v>42515</v>
      </c>
      <c r="C108" s="530">
        <v>4500</v>
      </c>
      <c r="D108" s="577">
        <v>16.746700000000001</v>
      </c>
      <c r="E108" s="531">
        <v>11.6</v>
      </c>
      <c r="F108" s="531">
        <f t="shared" si="6"/>
        <v>-23160.150000000005</v>
      </c>
      <c r="G108" s="531">
        <f t="shared" si="7"/>
        <v>75360.150000000009</v>
      </c>
      <c r="H108" s="578">
        <f t="shared" si="8"/>
        <v>-0.30732621949398992</v>
      </c>
      <c r="I108" s="531"/>
      <c r="J108" s="531"/>
    </row>
    <row r="109" spans="2:16" x14ac:dyDescent="0.25">
      <c r="B109" s="526">
        <v>42516</v>
      </c>
      <c r="C109" s="530">
        <v>4000</v>
      </c>
      <c r="D109" s="577">
        <v>17.344999999999999</v>
      </c>
      <c r="E109" s="531">
        <v>11.95</v>
      </c>
      <c r="F109" s="531">
        <f t="shared" si="6"/>
        <v>-21580</v>
      </c>
      <c r="G109" s="531">
        <f t="shared" si="7"/>
        <v>69380</v>
      </c>
      <c r="H109" s="578">
        <f t="shared" si="8"/>
        <v>-0.31104064571922746</v>
      </c>
      <c r="I109" s="531"/>
      <c r="J109" s="531"/>
    </row>
    <row r="110" spans="2:16" x14ac:dyDescent="0.25">
      <c r="B110" s="526">
        <v>42517</v>
      </c>
      <c r="C110" s="530">
        <v>4000</v>
      </c>
      <c r="D110" s="577">
        <v>17.322700000000001</v>
      </c>
      <c r="E110" s="531">
        <v>12.31</v>
      </c>
      <c r="F110" s="531">
        <f t="shared" si="6"/>
        <v>-20050.800000000003</v>
      </c>
      <c r="G110" s="531">
        <f t="shared" si="7"/>
        <v>69290.8</v>
      </c>
      <c r="H110" s="578">
        <f t="shared" si="8"/>
        <v>-0.28937174920768705</v>
      </c>
      <c r="I110" s="531"/>
      <c r="J110" s="531"/>
    </row>
    <row r="111" spans="2:16" x14ac:dyDescent="0.25">
      <c r="B111" s="526">
        <v>42522</v>
      </c>
      <c r="C111" s="530">
        <v>3375</v>
      </c>
      <c r="D111" s="577">
        <v>18.078900000000001</v>
      </c>
      <c r="E111" s="531">
        <v>13.09</v>
      </c>
      <c r="F111" s="531">
        <f t="shared" si="6"/>
        <v>-16837.537500000002</v>
      </c>
      <c r="G111" s="531">
        <f t="shared" si="7"/>
        <v>61016.287500000006</v>
      </c>
      <c r="H111" s="578">
        <f t="shared" si="8"/>
        <v>-0.27595152359933406</v>
      </c>
      <c r="I111" s="531"/>
      <c r="J111" s="531"/>
    </row>
    <row r="112" spans="2:16" x14ac:dyDescent="0.25">
      <c r="B112" s="526">
        <v>42524</v>
      </c>
      <c r="C112" s="530">
        <v>4000</v>
      </c>
      <c r="D112" s="577">
        <v>17.229099999999999</v>
      </c>
      <c r="E112" s="531">
        <v>12.86</v>
      </c>
      <c r="F112" s="531">
        <f t="shared" si="6"/>
        <v>-17476.399999999998</v>
      </c>
      <c r="G112" s="531">
        <f t="shared" si="7"/>
        <v>68916.399999999994</v>
      </c>
      <c r="H112" s="578">
        <f t="shared" si="8"/>
        <v>-0.25358840566251284</v>
      </c>
      <c r="I112" s="531"/>
      <c r="J112" s="531"/>
    </row>
    <row r="113" spans="2:10" x14ac:dyDescent="0.25">
      <c r="B113" s="526">
        <v>42530</v>
      </c>
      <c r="C113" s="530">
        <v>4000</v>
      </c>
      <c r="D113" s="577">
        <v>17.184100000000001</v>
      </c>
      <c r="E113" s="531">
        <v>12.51</v>
      </c>
      <c r="F113" s="531">
        <f t="shared" si="6"/>
        <v>-18696.400000000005</v>
      </c>
      <c r="G113" s="531">
        <f t="shared" si="7"/>
        <v>68736.400000000009</v>
      </c>
      <c r="H113" s="578">
        <f t="shared" si="8"/>
        <v>-0.27200144319458108</v>
      </c>
      <c r="I113" s="531"/>
      <c r="J113" s="531"/>
    </row>
    <row r="114" spans="2:10" x14ac:dyDescent="0.25">
      <c r="B114" s="526">
        <v>42532</v>
      </c>
      <c r="C114" s="530">
        <v>4760</v>
      </c>
      <c r="D114" s="577">
        <v>16.386800000000001</v>
      </c>
      <c r="E114" s="531">
        <v>12.14</v>
      </c>
      <c r="F114" s="531">
        <f t="shared" si="6"/>
        <v>-20214.768</v>
      </c>
      <c r="G114" s="531">
        <f t="shared" si="7"/>
        <v>78001.168000000005</v>
      </c>
      <c r="H114" s="578">
        <f t="shared" si="8"/>
        <v>-0.25915981155564233</v>
      </c>
      <c r="I114" s="531"/>
      <c r="J114" s="531"/>
    </row>
    <row r="115" spans="2:10" x14ac:dyDescent="0.25">
      <c r="B115" s="526">
        <v>42535</v>
      </c>
      <c r="C115" s="530">
        <v>4760</v>
      </c>
      <c r="D115" s="577">
        <v>16.387</v>
      </c>
      <c r="E115" s="531">
        <v>11.92</v>
      </c>
      <c r="F115" s="531">
        <f t="shared" si="6"/>
        <v>-21262.920000000002</v>
      </c>
      <c r="G115" s="531">
        <f t="shared" si="7"/>
        <v>78002.12</v>
      </c>
      <c r="H115" s="578">
        <f t="shared" si="8"/>
        <v>-0.27259412949289075</v>
      </c>
      <c r="I115" s="531"/>
      <c r="J115" s="531"/>
    </row>
    <row r="116" spans="2:10" x14ac:dyDescent="0.25">
      <c r="B116" s="526">
        <v>42537</v>
      </c>
      <c r="C116" s="530">
        <v>4760</v>
      </c>
      <c r="D116" s="577">
        <v>16.361599999999999</v>
      </c>
      <c r="E116" s="531">
        <v>11.95</v>
      </c>
      <c r="F116" s="531">
        <f t="shared" si="6"/>
        <v>-20999.216</v>
      </c>
      <c r="G116" s="531">
        <f t="shared" si="7"/>
        <v>77881.216</v>
      </c>
      <c r="H116" s="578">
        <f t="shared" si="8"/>
        <v>-0.26963133189908078</v>
      </c>
      <c r="I116" s="531"/>
      <c r="J116" s="531"/>
    </row>
    <row r="117" spans="2:10" x14ac:dyDescent="0.25">
      <c r="B117" s="526">
        <v>42541</v>
      </c>
      <c r="C117" s="530">
        <v>4600</v>
      </c>
      <c r="D117" s="577">
        <v>16.459700000000002</v>
      </c>
      <c r="E117" s="531">
        <v>12.32</v>
      </c>
      <c r="F117" s="531">
        <f t="shared" si="6"/>
        <v>-19042.620000000006</v>
      </c>
      <c r="G117" s="531">
        <f t="shared" si="7"/>
        <v>75714.62000000001</v>
      </c>
      <c r="H117" s="578">
        <f t="shared" si="8"/>
        <v>-0.25150519146764527</v>
      </c>
      <c r="I117" s="531"/>
      <c r="J117" s="531"/>
    </row>
    <row r="118" spans="2:10" x14ac:dyDescent="0.25">
      <c r="B118" s="526">
        <v>42542</v>
      </c>
      <c r="C118" s="530">
        <v>4000</v>
      </c>
      <c r="D118" s="577">
        <v>17.010200000000001</v>
      </c>
      <c r="E118" s="531">
        <v>12.75</v>
      </c>
      <c r="F118" s="531">
        <f t="shared" si="6"/>
        <v>-17040.800000000003</v>
      </c>
      <c r="G118" s="531">
        <f t="shared" si="7"/>
        <v>68040.800000000003</v>
      </c>
      <c r="H118" s="578">
        <f t="shared" si="8"/>
        <v>-0.25044973016190292</v>
      </c>
      <c r="I118" s="531"/>
      <c r="J118" s="531"/>
    </row>
    <row r="119" spans="2:10" x14ac:dyDescent="0.25">
      <c r="B119" s="526">
        <v>42544</v>
      </c>
      <c r="C119" s="530">
        <v>2500</v>
      </c>
      <c r="D119" s="577">
        <v>18.952100000000002</v>
      </c>
      <c r="E119" s="531">
        <v>14.05</v>
      </c>
      <c r="F119" s="531">
        <f t="shared" si="6"/>
        <v>-12255.250000000002</v>
      </c>
      <c r="G119" s="531">
        <f t="shared" si="7"/>
        <v>47380.250000000007</v>
      </c>
      <c r="H119" s="578">
        <f t="shared" si="8"/>
        <v>-0.25865735195571998</v>
      </c>
      <c r="I119" s="531"/>
      <c r="J119" s="531"/>
    </row>
    <row r="120" spans="2:10" x14ac:dyDescent="0.25">
      <c r="B120" s="526">
        <v>42545</v>
      </c>
      <c r="C120" s="530">
        <v>3000</v>
      </c>
      <c r="D120" s="577">
        <v>18.046700000000001</v>
      </c>
      <c r="E120" s="531">
        <v>13.52</v>
      </c>
      <c r="F120" s="531">
        <f t="shared" si="6"/>
        <v>-13580.100000000006</v>
      </c>
      <c r="G120" s="531">
        <f t="shared" si="7"/>
        <v>54140.100000000006</v>
      </c>
      <c r="H120" s="578">
        <f t="shared" si="8"/>
        <v>-0.25083256218588446</v>
      </c>
      <c r="I120" s="531"/>
      <c r="J120" s="531"/>
    </row>
    <row r="121" spans="2:10" x14ac:dyDescent="0.25">
      <c r="B121" s="526">
        <v>42545</v>
      </c>
      <c r="C121" s="530">
        <v>3500</v>
      </c>
      <c r="D121" s="577">
        <v>17.391500000000001</v>
      </c>
      <c r="E121" s="531">
        <v>13.46</v>
      </c>
      <c r="F121" s="531">
        <f t="shared" si="6"/>
        <v>-13760.25</v>
      </c>
      <c r="G121" s="531">
        <f t="shared" si="7"/>
        <v>60870.25</v>
      </c>
      <c r="H121" s="578">
        <f t="shared" si="8"/>
        <v>-0.22605870683954804</v>
      </c>
      <c r="I121" s="531"/>
      <c r="J121" s="531"/>
    </row>
    <row r="122" spans="2:10" x14ac:dyDescent="0.25">
      <c r="B122" s="526">
        <v>42545</v>
      </c>
      <c r="C122" s="530">
        <v>4000</v>
      </c>
      <c r="D122" s="577">
        <v>16.8825</v>
      </c>
      <c r="E122" s="531">
        <v>13.32</v>
      </c>
      <c r="F122" s="531">
        <f t="shared" si="6"/>
        <v>-14250</v>
      </c>
      <c r="G122" s="531">
        <f t="shared" si="7"/>
        <v>67530</v>
      </c>
      <c r="H122" s="578">
        <f t="shared" si="8"/>
        <v>-0.21101732563305198</v>
      </c>
      <c r="I122" s="531"/>
      <c r="J122" s="531"/>
    </row>
    <row r="123" spans="2:10" x14ac:dyDescent="0.25">
      <c r="B123" s="526">
        <v>42548</v>
      </c>
      <c r="C123" s="530">
        <v>4760</v>
      </c>
      <c r="D123" s="577">
        <v>16.2315</v>
      </c>
      <c r="E123" s="531">
        <v>12.23</v>
      </c>
      <c r="F123" s="531">
        <f t="shared" si="6"/>
        <v>-19047.14</v>
      </c>
      <c r="G123" s="531">
        <f t="shared" si="7"/>
        <v>77261.94</v>
      </c>
      <c r="H123" s="578">
        <f t="shared" si="8"/>
        <v>-0.246526815143394</v>
      </c>
      <c r="I123" s="531"/>
      <c r="J123" s="531"/>
    </row>
    <row r="124" spans="2:10" x14ac:dyDescent="0.25">
      <c r="B124" s="526">
        <v>42548</v>
      </c>
      <c r="C124" s="530">
        <v>5260</v>
      </c>
      <c r="D124" s="577">
        <v>15.884399999999999</v>
      </c>
      <c r="E124" s="531">
        <v>12.23</v>
      </c>
      <c r="F124" s="531">
        <f t="shared" ref="F124:F171" si="9">-C124*(D124-E124)</f>
        <v>-19222.143999999993</v>
      </c>
      <c r="G124" s="531">
        <f t="shared" ref="G124:G171" si="10">IF(C124=0, 0,D124*C124)</f>
        <v>83551.944000000003</v>
      </c>
      <c r="H124" s="578">
        <f t="shared" ref="H124:H171" si="11">IF(C124=0, D124, (E124-D124)/D124)</f>
        <v>-0.23006219939059702</v>
      </c>
      <c r="I124" s="531"/>
      <c r="J124" s="531"/>
    </row>
    <row r="125" spans="2:10" x14ac:dyDescent="0.25">
      <c r="B125" s="526">
        <v>42549</v>
      </c>
      <c r="C125" s="530">
        <v>4500</v>
      </c>
      <c r="D125" s="577">
        <v>16.3767</v>
      </c>
      <c r="E125" s="531">
        <v>12.99</v>
      </c>
      <c r="F125" s="531">
        <f t="shared" si="9"/>
        <v>-15240.149999999998</v>
      </c>
      <c r="G125" s="531">
        <f t="shared" si="10"/>
        <v>73695.149999999994</v>
      </c>
      <c r="H125" s="578">
        <f t="shared" si="11"/>
        <v>-0.2067999047427137</v>
      </c>
      <c r="I125" s="531"/>
      <c r="J125" s="531"/>
    </row>
    <row r="126" spans="2:10" x14ac:dyDescent="0.25">
      <c r="B126" s="526">
        <v>42550</v>
      </c>
      <c r="C126" s="530">
        <v>4500</v>
      </c>
      <c r="D126" s="577">
        <v>16.3767</v>
      </c>
      <c r="E126" s="531">
        <v>13.19</v>
      </c>
      <c r="F126" s="531">
        <f t="shared" si="9"/>
        <v>-14340.15</v>
      </c>
      <c r="G126" s="531">
        <f t="shared" si="10"/>
        <v>73695.149999999994</v>
      </c>
      <c r="H126" s="578">
        <f t="shared" si="11"/>
        <v>-0.19458743214444912</v>
      </c>
      <c r="I126" s="531">
        <v>16</v>
      </c>
      <c r="J126" s="531"/>
    </row>
    <row r="127" spans="2:10" x14ac:dyDescent="0.25">
      <c r="B127" s="526">
        <v>42551</v>
      </c>
      <c r="C127" s="530">
        <v>4000</v>
      </c>
      <c r="D127" s="577">
        <v>16.708500000000001</v>
      </c>
      <c r="E127" s="531">
        <v>13.76</v>
      </c>
      <c r="F127" s="531">
        <f t="shared" si="9"/>
        <v>-11794.000000000004</v>
      </c>
      <c r="G127" s="531">
        <f t="shared" si="10"/>
        <v>66834</v>
      </c>
      <c r="H127" s="578">
        <f t="shared" si="11"/>
        <v>-0.176467067660173</v>
      </c>
      <c r="I127" s="531"/>
      <c r="J127" s="531"/>
    </row>
    <row r="128" spans="2:10" x14ac:dyDescent="0.25">
      <c r="B128" s="526">
        <v>42551</v>
      </c>
      <c r="C128" s="530">
        <v>4500</v>
      </c>
      <c r="D128" s="577">
        <v>16.23</v>
      </c>
      <c r="E128" s="531">
        <v>13.76</v>
      </c>
      <c r="F128" s="531">
        <f t="shared" si="9"/>
        <v>-11115.000000000004</v>
      </c>
      <c r="G128" s="531">
        <f t="shared" si="10"/>
        <v>73035</v>
      </c>
      <c r="H128" s="578">
        <f t="shared" si="11"/>
        <v>-0.15218730745532968</v>
      </c>
      <c r="I128" s="531" t="s">
        <v>230</v>
      </c>
      <c r="J128" s="531"/>
    </row>
    <row r="129" spans="2:10" x14ac:dyDescent="0.25">
      <c r="B129" s="526">
        <v>42552</v>
      </c>
      <c r="C129" s="530">
        <v>4500</v>
      </c>
      <c r="D129" s="577">
        <v>16.23</v>
      </c>
      <c r="E129" s="531">
        <v>12.5</v>
      </c>
      <c r="F129" s="531">
        <f t="shared" si="9"/>
        <v>-16785.000000000004</v>
      </c>
      <c r="G129" s="531">
        <f t="shared" si="10"/>
        <v>73035</v>
      </c>
      <c r="H129" s="578">
        <f t="shared" si="11"/>
        <v>-0.22982131854590268</v>
      </c>
      <c r="I129" s="531"/>
      <c r="J129" s="531"/>
    </row>
    <row r="130" spans="2:10" x14ac:dyDescent="0.25">
      <c r="B130" s="526">
        <v>42556</v>
      </c>
      <c r="C130" s="580">
        <v>5000</v>
      </c>
      <c r="D130" s="581">
        <v>15.7963</v>
      </c>
      <c r="E130" s="531">
        <v>11.91</v>
      </c>
      <c r="F130" s="531">
        <f t="shared" si="9"/>
        <v>-19431.5</v>
      </c>
      <c r="G130" s="531">
        <f t="shared" si="10"/>
        <v>78981.5</v>
      </c>
      <c r="H130" s="578">
        <f t="shared" si="11"/>
        <v>-0.24602596810645533</v>
      </c>
      <c r="I130" s="531">
        <v>15.6</v>
      </c>
      <c r="J130" s="531"/>
    </row>
    <row r="131" spans="2:10" x14ac:dyDescent="0.25">
      <c r="B131" s="526">
        <v>42557</v>
      </c>
      <c r="C131" s="530">
        <v>4500</v>
      </c>
      <c r="D131" s="577">
        <v>16.142600000000002</v>
      </c>
      <c r="E131" s="531">
        <v>12.2</v>
      </c>
      <c r="F131" s="531">
        <f t="shared" si="9"/>
        <v>-17741.700000000012</v>
      </c>
      <c r="G131" s="531">
        <f t="shared" si="10"/>
        <v>72641.700000000012</v>
      </c>
      <c r="H131" s="578">
        <f t="shared" si="11"/>
        <v>-0.24423574888803551</v>
      </c>
      <c r="I131" s="531"/>
      <c r="J131" s="531"/>
    </row>
    <row r="132" spans="2:10" x14ac:dyDescent="0.25">
      <c r="B132" s="526">
        <v>42559</v>
      </c>
      <c r="C132" s="530">
        <v>4500</v>
      </c>
      <c r="D132" s="577">
        <v>16.142600000000002</v>
      </c>
      <c r="E132" s="531">
        <v>12.62</v>
      </c>
      <c r="F132" s="531">
        <f t="shared" si="9"/>
        <v>-15851.700000000012</v>
      </c>
      <c r="G132" s="531">
        <f t="shared" si="10"/>
        <v>72641.700000000012</v>
      </c>
      <c r="H132" s="578">
        <f t="shared" si="11"/>
        <v>-0.21821763532516461</v>
      </c>
      <c r="I132" s="531"/>
      <c r="J132" s="531"/>
    </row>
    <row r="133" spans="2:10" x14ac:dyDescent="0.25">
      <c r="B133" s="526">
        <v>42562</v>
      </c>
      <c r="C133" s="530">
        <v>4500</v>
      </c>
      <c r="D133" s="577">
        <v>16.143000000000001</v>
      </c>
      <c r="E133" s="531">
        <v>12.64</v>
      </c>
      <c r="F133" s="531">
        <f t="shared" si="9"/>
        <v>-15763.5</v>
      </c>
      <c r="G133" s="531">
        <f t="shared" si="10"/>
        <v>72643.5</v>
      </c>
      <c r="H133" s="578">
        <f t="shared" si="11"/>
        <v>-0.21699807966301182</v>
      </c>
      <c r="I133" s="531"/>
      <c r="J133" s="531"/>
    </row>
    <row r="134" spans="2:10" x14ac:dyDescent="0.25">
      <c r="B134" s="526">
        <v>42572</v>
      </c>
      <c r="C134" s="530">
        <v>4500</v>
      </c>
      <c r="D134" s="577">
        <v>16.143000000000001</v>
      </c>
      <c r="E134" s="531">
        <v>13.18</v>
      </c>
      <c r="F134" s="531">
        <f t="shared" si="9"/>
        <v>-13333.500000000004</v>
      </c>
      <c r="G134" s="531">
        <f t="shared" si="10"/>
        <v>72643.5</v>
      </c>
      <c r="H134" s="578">
        <f t="shared" si="11"/>
        <v>-0.18354704825621018</v>
      </c>
      <c r="I134" s="531"/>
      <c r="J134" s="531"/>
    </row>
    <row r="135" spans="2:10" x14ac:dyDescent="0.25">
      <c r="B135" s="526">
        <v>42576</v>
      </c>
      <c r="C135" s="530">
        <v>4000</v>
      </c>
      <c r="D135" s="577">
        <v>16.433</v>
      </c>
      <c r="E135" s="531">
        <v>13.92</v>
      </c>
      <c r="F135" s="531">
        <f t="shared" si="9"/>
        <v>-10052</v>
      </c>
      <c r="G135" s="531">
        <f t="shared" si="10"/>
        <v>65732</v>
      </c>
      <c r="H135" s="578">
        <f t="shared" si="11"/>
        <v>-0.15292399440150917</v>
      </c>
      <c r="I135" s="531"/>
      <c r="J135" s="531"/>
    </row>
    <row r="136" spans="2:10" x14ac:dyDescent="0.25">
      <c r="B136" s="526">
        <v>42577</v>
      </c>
      <c r="C136" s="530">
        <v>3200</v>
      </c>
      <c r="D136" s="577">
        <v>16.935400000000001</v>
      </c>
      <c r="E136" s="531">
        <v>14.67</v>
      </c>
      <c r="F136" s="531">
        <f t="shared" si="9"/>
        <v>-7249.2800000000043</v>
      </c>
      <c r="G136" s="531">
        <f t="shared" si="10"/>
        <v>54193.280000000006</v>
      </c>
      <c r="H136" s="578">
        <f t="shared" si="11"/>
        <v>-0.1337671386563058</v>
      </c>
      <c r="I136" s="531"/>
      <c r="J136" s="531"/>
    </row>
    <row r="137" spans="2:10" x14ac:dyDescent="0.25">
      <c r="B137" s="526">
        <v>42578</v>
      </c>
      <c r="C137" s="530">
        <v>3400</v>
      </c>
      <c r="D137" s="577">
        <v>16.7698</v>
      </c>
      <c r="E137" s="531">
        <v>14.19</v>
      </c>
      <c r="F137" s="531">
        <f t="shared" si="9"/>
        <v>-8771.3200000000015</v>
      </c>
      <c r="G137" s="531">
        <f t="shared" si="10"/>
        <v>57017.32</v>
      </c>
      <c r="H137" s="578">
        <f t="shared" si="11"/>
        <v>-0.15383606244558673</v>
      </c>
      <c r="I137" s="531"/>
      <c r="J137" s="531"/>
    </row>
    <row r="138" spans="2:10" x14ac:dyDescent="0.25">
      <c r="B138" s="526">
        <v>42579</v>
      </c>
      <c r="C138" s="530">
        <v>4000</v>
      </c>
      <c r="D138" s="577">
        <v>16.327300000000001</v>
      </c>
      <c r="E138" s="531">
        <v>13.81</v>
      </c>
      <c r="F138" s="531">
        <f t="shared" si="9"/>
        <v>-10069.200000000003</v>
      </c>
      <c r="G138" s="531">
        <f t="shared" si="10"/>
        <v>65309.200000000004</v>
      </c>
      <c r="H138" s="578">
        <f t="shared" si="11"/>
        <v>-0.15417735939193869</v>
      </c>
      <c r="I138" s="531"/>
      <c r="J138" s="531"/>
    </row>
    <row r="139" spans="2:10" x14ac:dyDescent="0.25">
      <c r="B139" s="526">
        <v>42580</v>
      </c>
      <c r="C139" s="530">
        <v>4500</v>
      </c>
      <c r="D139" s="577">
        <v>16.026499999999999</v>
      </c>
      <c r="E139" s="531">
        <v>13.74</v>
      </c>
      <c r="F139" s="531">
        <f t="shared" si="9"/>
        <v>-10289.249999999993</v>
      </c>
      <c r="G139" s="531">
        <f t="shared" si="10"/>
        <v>72119.25</v>
      </c>
      <c r="H139" s="578">
        <f t="shared" si="11"/>
        <v>-0.14266995289052498</v>
      </c>
      <c r="I139" s="531"/>
      <c r="J139" s="531"/>
    </row>
    <row r="140" spans="2:10" x14ac:dyDescent="0.25">
      <c r="B140" s="526">
        <v>42585</v>
      </c>
      <c r="C140" s="530">
        <v>4700</v>
      </c>
      <c r="D140" s="577">
        <v>15.9011</v>
      </c>
      <c r="E140" s="531">
        <v>13.4</v>
      </c>
      <c r="F140" s="531">
        <f t="shared" si="9"/>
        <v>-11755.169999999996</v>
      </c>
      <c r="G140" s="531">
        <f t="shared" si="10"/>
        <v>74735.17</v>
      </c>
      <c r="H140" s="578">
        <f t="shared" si="11"/>
        <v>-0.15729100502480955</v>
      </c>
      <c r="I140" s="531"/>
      <c r="J140" s="531"/>
    </row>
    <row r="141" spans="2:10" x14ac:dyDescent="0.25">
      <c r="B141" s="526">
        <v>42586</v>
      </c>
      <c r="C141" s="530">
        <v>4500</v>
      </c>
      <c r="D141" s="577">
        <v>15.990399999999999</v>
      </c>
      <c r="E141" s="531">
        <v>14.03</v>
      </c>
      <c r="F141" s="531">
        <f t="shared" si="9"/>
        <v>-8821.7999999999993</v>
      </c>
      <c r="G141" s="531">
        <f t="shared" si="10"/>
        <v>71956.800000000003</v>
      </c>
      <c r="H141" s="578">
        <f t="shared" si="11"/>
        <v>-0.12259855913548129</v>
      </c>
      <c r="I141" s="531" t="s">
        <v>263</v>
      </c>
      <c r="J141" s="531"/>
    </row>
    <row r="142" spans="2:10" x14ac:dyDescent="0.25">
      <c r="B142" s="526">
        <v>42587</v>
      </c>
      <c r="C142" s="530">
        <v>4000</v>
      </c>
      <c r="D142" s="577">
        <v>16.158000000000001</v>
      </c>
      <c r="E142" s="531">
        <v>14.52</v>
      </c>
      <c r="F142" s="531">
        <f t="shared" si="9"/>
        <v>-6552.0000000000064</v>
      </c>
      <c r="G142" s="531">
        <f t="shared" si="10"/>
        <v>64632.000000000007</v>
      </c>
      <c r="H142" s="578">
        <f t="shared" si="11"/>
        <v>-0.10137393241737848</v>
      </c>
      <c r="I142" s="531">
        <v>16</v>
      </c>
      <c r="J142" s="531"/>
    </row>
    <row r="143" spans="2:10" x14ac:dyDescent="0.25">
      <c r="B143" s="526">
        <v>42593</v>
      </c>
      <c r="C143" s="530">
        <v>4000</v>
      </c>
      <c r="D143" s="577">
        <v>16.158000000000001</v>
      </c>
      <c r="E143" s="531">
        <v>14.2</v>
      </c>
      <c r="F143" s="531">
        <f t="shared" si="9"/>
        <v>-7832.0000000000082</v>
      </c>
      <c r="G143" s="531">
        <f t="shared" si="10"/>
        <v>64632.000000000007</v>
      </c>
      <c r="H143" s="578">
        <f t="shared" si="11"/>
        <v>-0.12117836365886879</v>
      </c>
      <c r="I143" s="531"/>
      <c r="J143" s="531"/>
    </row>
    <row r="144" spans="2:10" x14ac:dyDescent="0.25">
      <c r="B144" s="526">
        <v>42597</v>
      </c>
      <c r="C144" s="530">
        <v>2000</v>
      </c>
      <c r="D144" s="577">
        <v>17.3687</v>
      </c>
      <c r="E144" s="531">
        <v>15.53</v>
      </c>
      <c r="F144" s="531">
        <f t="shared" si="9"/>
        <v>-3677.4000000000024</v>
      </c>
      <c r="G144" s="531">
        <f t="shared" si="10"/>
        <v>34737.4</v>
      </c>
      <c r="H144" s="578">
        <f t="shared" si="11"/>
        <v>-0.10586284523309177</v>
      </c>
      <c r="I144" s="531">
        <v>17</v>
      </c>
      <c r="J144" s="531"/>
    </row>
    <row r="145" spans="2:10" x14ac:dyDescent="0.25">
      <c r="B145" s="526">
        <v>42599</v>
      </c>
      <c r="C145" s="530">
        <v>2000</v>
      </c>
      <c r="D145" s="577">
        <v>17.331299999999999</v>
      </c>
      <c r="E145" s="531">
        <v>15.52</v>
      </c>
      <c r="F145" s="531">
        <f t="shared" si="9"/>
        <v>-3622.5999999999985</v>
      </c>
      <c r="G145" s="531">
        <f t="shared" si="10"/>
        <v>34662.6</v>
      </c>
      <c r="H145" s="578">
        <f t="shared" si="11"/>
        <v>-0.10451033678950797</v>
      </c>
      <c r="I145" s="531"/>
      <c r="J145" s="531"/>
    </row>
    <row r="146" spans="2:10" x14ac:dyDescent="0.25">
      <c r="B146" s="526">
        <v>42600</v>
      </c>
      <c r="C146" s="530">
        <v>2000</v>
      </c>
      <c r="D146" s="577">
        <v>17.331299999999999</v>
      </c>
      <c r="E146" s="531">
        <v>15.77</v>
      </c>
      <c r="F146" s="531">
        <f t="shared" si="9"/>
        <v>-3122.5999999999985</v>
      </c>
      <c r="G146" s="531">
        <f t="shared" si="10"/>
        <v>34662.6</v>
      </c>
      <c r="H146" s="578">
        <f t="shared" si="11"/>
        <v>-9.0085567730060601E-2</v>
      </c>
      <c r="I146" s="531"/>
      <c r="J146" s="531"/>
    </row>
    <row r="147" spans="2:10" x14ac:dyDescent="0.25">
      <c r="B147" s="526">
        <v>42601</v>
      </c>
      <c r="C147" s="530">
        <v>2000</v>
      </c>
      <c r="D147" s="577">
        <v>17.331299999999999</v>
      </c>
      <c r="E147" s="531">
        <v>16.25</v>
      </c>
      <c r="F147" s="531">
        <f t="shared" si="9"/>
        <v>-2162.5999999999976</v>
      </c>
      <c r="G147" s="531">
        <f t="shared" si="10"/>
        <v>34662.6</v>
      </c>
      <c r="H147" s="578">
        <f t="shared" si="11"/>
        <v>-6.2390011135921651E-2</v>
      </c>
      <c r="I147" s="531"/>
      <c r="J147" s="531"/>
    </row>
    <row r="148" spans="2:10" x14ac:dyDescent="0.25">
      <c r="B148" s="526">
        <v>42604</v>
      </c>
      <c r="C148" s="530">
        <v>2000</v>
      </c>
      <c r="D148" s="577">
        <v>17.331299999999999</v>
      </c>
      <c r="E148" s="531">
        <v>16.190000000000001</v>
      </c>
      <c r="F148" s="531">
        <f t="shared" si="9"/>
        <v>-2282.5999999999949</v>
      </c>
      <c r="G148" s="531">
        <f t="shared" si="10"/>
        <v>34662.6</v>
      </c>
      <c r="H148" s="578">
        <f t="shared" si="11"/>
        <v>-6.5851955710188939E-2</v>
      </c>
      <c r="I148" s="531"/>
      <c r="J148" s="531"/>
    </row>
    <row r="149" spans="2:10" x14ac:dyDescent="0.25">
      <c r="B149" s="526">
        <v>42607</v>
      </c>
      <c r="C149" s="530">
        <v>2000</v>
      </c>
      <c r="D149" s="577">
        <v>17.331299999999999</v>
      </c>
      <c r="E149" s="531">
        <v>16.2</v>
      </c>
      <c r="F149" s="531">
        <f t="shared" si="9"/>
        <v>-2262.599999999999</v>
      </c>
      <c r="G149" s="531">
        <f t="shared" si="10"/>
        <v>34662.6</v>
      </c>
      <c r="H149" s="578">
        <f t="shared" si="11"/>
        <v>-6.5274964947811168E-2</v>
      </c>
      <c r="I149" s="531"/>
      <c r="J149" s="531"/>
    </row>
    <row r="150" spans="2:10" x14ac:dyDescent="0.25">
      <c r="B150" s="526">
        <v>42609</v>
      </c>
      <c r="C150" s="530">
        <v>2000</v>
      </c>
      <c r="D150" s="577">
        <v>17.331299999999999</v>
      </c>
      <c r="E150" s="531">
        <v>16.91</v>
      </c>
      <c r="F150" s="531">
        <f t="shared" si="9"/>
        <v>-842.59999999999741</v>
      </c>
      <c r="G150" s="531">
        <f t="shared" si="10"/>
        <v>34662.6</v>
      </c>
      <c r="H150" s="578">
        <f t="shared" si="11"/>
        <v>-2.4308620818980612E-2</v>
      </c>
      <c r="I150" s="531"/>
      <c r="J150" s="531"/>
    </row>
    <row r="151" spans="2:10" x14ac:dyDescent="0.25">
      <c r="B151" s="526">
        <v>42612</v>
      </c>
      <c r="C151" s="530">
        <v>2000</v>
      </c>
      <c r="D151" s="577">
        <v>17.331299999999999</v>
      </c>
      <c r="E151" s="531">
        <v>16.739999999999998</v>
      </c>
      <c r="F151" s="531">
        <f t="shared" si="9"/>
        <v>-1182.6000000000008</v>
      </c>
      <c r="G151" s="531">
        <f t="shared" si="10"/>
        <v>34662.6</v>
      </c>
      <c r="H151" s="578">
        <f t="shared" si="11"/>
        <v>-3.4117463779404916E-2</v>
      </c>
      <c r="I151" s="531"/>
      <c r="J151" s="531"/>
    </row>
    <row r="152" spans="2:10" x14ac:dyDescent="0.25">
      <c r="B152" s="526">
        <v>42615</v>
      </c>
      <c r="C152" s="530">
        <v>2000</v>
      </c>
      <c r="D152" s="577">
        <v>17.331299999999999</v>
      </c>
      <c r="E152" s="531">
        <v>16.7</v>
      </c>
      <c r="F152" s="531">
        <f t="shared" si="9"/>
        <v>-1262.599999999999</v>
      </c>
      <c r="G152" s="531">
        <f t="shared" si="10"/>
        <v>34662.6</v>
      </c>
      <c r="H152" s="578">
        <f t="shared" si="11"/>
        <v>-3.6425426828916446E-2</v>
      </c>
      <c r="I152" s="531"/>
      <c r="J152" s="531"/>
    </row>
    <row r="153" spans="2:10" x14ac:dyDescent="0.25">
      <c r="B153" s="526">
        <v>42619</v>
      </c>
      <c r="C153" s="530">
        <v>2000</v>
      </c>
      <c r="D153" s="577">
        <v>17.273900000000001</v>
      </c>
      <c r="E153" s="531">
        <v>17.010000000000002</v>
      </c>
      <c r="F153" s="531">
        <f t="shared" si="9"/>
        <v>-527.79999999999916</v>
      </c>
      <c r="G153" s="531">
        <f t="shared" si="10"/>
        <v>34547.800000000003</v>
      </c>
      <c r="H153" s="578">
        <f t="shared" si="11"/>
        <v>-1.5277383798678906E-2</v>
      </c>
      <c r="I153" s="531">
        <v>17</v>
      </c>
      <c r="J153" s="531"/>
    </row>
    <row r="154" spans="2:10" x14ac:dyDescent="0.25">
      <c r="B154" s="526">
        <v>42620</v>
      </c>
      <c r="C154" s="530">
        <v>2000</v>
      </c>
      <c r="D154" s="577">
        <v>17.234000000000002</v>
      </c>
      <c r="E154" s="531">
        <v>17.16</v>
      </c>
      <c r="F154" s="531">
        <f t="shared" si="9"/>
        <v>-148.00000000000324</v>
      </c>
      <c r="G154" s="531">
        <f t="shared" si="10"/>
        <v>34468</v>
      </c>
      <c r="H154" s="578">
        <f t="shared" si="11"/>
        <v>-4.2938377625624706E-3</v>
      </c>
      <c r="I154" s="531">
        <v>17</v>
      </c>
      <c r="J154" s="531"/>
    </row>
    <row r="155" spans="2:10" x14ac:dyDescent="0.25">
      <c r="B155" s="526">
        <v>42621</v>
      </c>
      <c r="C155" s="530">
        <v>1500</v>
      </c>
      <c r="D155" s="577">
        <v>17.168800000000001</v>
      </c>
      <c r="E155" s="531">
        <v>17.45</v>
      </c>
      <c r="F155" s="531">
        <f t="shared" si="9"/>
        <v>421.79999999999751</v>
      </c>
      <c r="G155" s="531">
        <f t="shared" si="10"/>
        <v>25753.200000000001</v>
      </c>
      <c r="H155" s="578">
        <f t="shared" si="11"/>
        <v>1.6378547132006798E-2</v>
      </c>
      <c r="I155" s="531"/>
      <c r="J155" s="531"/>
    </row>
    <row r="156" spans="2:10" x14ac:dyDescent="0.25">
      <c r="B156" s="526">
        <v>42622</v>
      </c>
      <c r="C156" s="530">
        <v>2000</v>
      </c>
      <c r="D156" s="577">
        <v>17.137899999999998</v>
      </c>
      <c r="E156" s="531">
        <v>16.809999999999999</v>
      </c>
      <c r="F156" s="531">
        <f t="shared" si="9"/>
        <v>-655.79999999999927</v>
      </c>
      <c r="G156" s="531">
        <f t="shared" si="10"/>
        <v>34275.799999999996</v>
      </c>
      <c r="H156" s="578">
        <f t="shared" si="11"/>
        <v>-1.9133032635270348E-2</v>
      </c>
      <c r="I156" s="531">
        <v>17</v>
      </c>
      <c r="J156" s="531"/>
    </row>
    <row r="157" spans="2:10" x14ac:dyDescent="0.25">
      <c r="B157" s="526">
        <v>42625</v>
      </c>
      <c r="C157" s="530">
        <v>2000</v>
      </c>
      <c r="D157" s="577">
        <v>17.137899999999998</v>
      </c>
      <c r="E157" s="531">
        <v>17.149999999999999</v>
      </c>
      <c r="F157" s="531">
        <f t="shared" si="9"/>
        <v>24.200000000000443</v>
      </c>
      <c r="G157" s="531">
        <f t="shared" si="10"/>
        <v>34275.799999999996</v>
      </c>
      <c r="H157" s="578">
        <f t="shared" si="11"/>
        <v>7.0603749584256077E-4</v>
      </c>
      <c r="I157" s="531"/>
      <c r="J157" s="531"/>
    </row>
    <row r="158" spans="2:10" x14ac:dyDescent="0.25">
      <c r="B158" s="526">
        <v>42626</v>
      </c>
      <c r="C158" s="530">
        <v>2100</v>
      </c>
      <c r="D158" s="577">
        <v>17.1065</v>
      </c>
      <c r="E158" s="531">
        <v>16.75</v>
      </c>
      <c r="F158" s="531">
        <f t="shared" si="9"/>
        <v>-748.650000000001</v>
      </c>
      <c r="G158" s="531">
        <f t="shared" si="10"/>
        <v>35923.65</v>
      </c>
      <c r="H158" s="578">
        <f t="shared" si="11"/>
        <v>-2.0840031566948265E-2</v>
      </c>
      <c r="I158" s="531"/>
      <c r="J158" s="531"/>
    </row>
    <row r="159" spans="2:10" x14ac:dyDescent="0.25">
      <c r="B159" s="526">
        <v>42627</v>
      </c>
      <c r="C159" s="530">
        <v>2100</v>
      </c>
      <c r="D159" s="577">
        <v>17.1065</v>
      </c>
      <c r="E159" s="531">
        <v>16.93</v>
      </c>
      <c r="F159" s="531">
        <f t="shared" si="9"/>
        <v>-370.65000000000163</v>
      </c>
      <c r="G159" s="531">
        <f t="shared" si="10"/>
        <v>35923.65</v>
      </c>
      <c r="H159" s="578">
        <f t="shared" si="11"/>
        <v>-1.0317715488264739E-2</v>
      </c>
      <c r="I159" s="531"/>
      <c r="J159" s="531"/>
    </row>
    <row r="160" spans="2:10" x14ac:dyDescent="0.25">
      <c r="B160" s="526">
        <v>42628</v>
      </c>
      <c r="C160" s="530">
        <v>2100</v>
      </c>
      <c r="D160" s="577">
        <v>17.1065</v>
      </c>
      <c r="E160" s="531">
        <v>17.45</v>
      </c>
      <c r="F160" s="531">
        <f t="shared" si="9"/>
        <v>721.34999999999752</v>
      </c>
      <c r="G160" s="531">
        <f t="shared" si="10"/>
        <v>35923.65</v>
      </c>
      <c r="H160" s="578">
        <f t="shared" si="11"/>
        <v>2.008008651682102E-2</v>
      </c>
      <c r="I160" s="531"/>
      <c r="J160" s="531"/>
    </row>
    <row r="161" spans="2:10" x14ac:dyDescent="0.25">
      <c r="B161" s="526">
        <v>42629</v>
      </c>
      <c r="C161" s="530">
        <v>2100</v>
      </c>
      <c r="D161" s="577">
        <v>17.1065</v>
      </c>
      <c r="E161" s="531">
        <v>17.48</v>
      </c>
      <c r="F161" s="531">
        <f t="shared" si="9"/>
        <v>784.34999999999991</v>
      </c>
      <c r="G161" s="531">
        <f t="shared" si="10"/>
        <v>35923.65</v>
      </c>
      <c r="H161" s="578">
        <f t="shared" si="11"/>
        <v>2.1833805863268343E-2</v>
      </c>
      <c r="I161" s="531"/>
      <c r="J161" s="531"/>
    </row>
    <row r="162" spans="2:10" x14ac:dyDescent="0.25">
      <c r="B162" s="526">
        <v>42632</v>
      </c>
      <c r="C162" s="530">
        <v>2100</v>
      </c>
      <c r="D162" s="577">
        <v>17.106529999999999</v>
      </c>
      <c r="E162" s="531">
        <v>16.95</v>
      </c>
      <c r="F162" s="531">
        <f t="shared" si="9"/>
        <v>-328.71300000000014</v>
      </c>
      <c r="G162" s="531">
        <f t="shared" si="10"/>
        <v>35923.712999999996</v>
      </c>
      <c r="H162" s="578">
        <f t="shared" si="11"/>
        <v>-9.150306929576019E-3</v>
      </c>
      <c r="I162" s="531"/>
      <c r="J162" s="531"/>
    </row>
    <row r="163" spans="2:10" x14ac:dyDescent="0.25">
      <c r="B163" s="526">
        <v>42634</v>
      </c>
      <c r="C163" s="530">
        <v>1600</v>
      </c>
      <c r="D163" s="577">
        <v>16.943059999999999</v>
      </c>
      <c r="E163" s="531">
        <v>17.66</v>
      </c>
      <c r="F163" s="531">
        <f t="shared" si="9"/>
        <v>1147.1040000000016</v>
      </c>
      <c r="G163" s="531">
        <f t="shared" si="10"/>
        <v>27108.895999999997</v>
      </c>
      <c r="H163" s="578">
        <f t="shared" si="11"/>
        <v>4.2314670431433346E-2</v>
      </c>
      <c r="I163" s="531"/>
      <c r="J163" s="531"/>
    </row>
    <row r="164" spans="2:10" x14ac:dyDescent="0.25">
      <c r="B164" s="526">
        <v>42635</v>
      </c>
      <c r="C164" s="530">
        <v>1600</v>
      </c>
      <c r="D164" s="577">
        <v>16.943059999999999</v>
      </c>
      <c r="E164" s="531">
        <v>17.59</v>
      </c>
      <c r="F164" s="531">
        <f t="shared" si="9"/>
        <v>1035.1040000000012</v>
      </c>
      <c r="G164" s="531">
        <f t="shared" si="10"/>
        <v>27108.895999999997</v>
      </c>
      <c r="H164" s="578">
        <f t="shared" si="11"/>
        <v>3.8183185327797978E-2</v>
      </c>
      <c r="I164" s="531"/>
      <c r="J164" s="531"/>
    </row>
    <row r="165" spans="2:10" x14ac:dyDescent="0.25">
      <c r="B165" s="526">
        <v>42640</v>
      </c>
      <c r="C165" s="530">
        <v>1600</v>
      </c>
      <c r="D165" s="577">
        <v>16.943059999999999</v>
      </c>
      <c r="E165" s="531">
        <v>18</v>
      </c>
      <c r="F165" s="531">
        <f t="shared" si="9"/>
        <v>1691.1040000000014</v>
      </c>
      <c r="G165" s="531">
        <f t="shared" si="10"/>
        <v>27108.895999999997</v>
      </c>
      <c r="H165" s="578">
        <f t="shared" si="11"/>
        <v>6.2381883791947909E-2</v>
      </c>
      <c r="I165" s="531"/>
      <c r="J165" s="531"/>
    </row>
    <row r="166" spans="2:10" x14ac:dyDescent="0.25">
      <c r="B166" s="526">
        <v>42641</v>
      </c>
      <c r="C166" s="530">
        <v>1800</v>
      </c>
      <c r="D166" s="577">
        <v>16.979289999999999</v>
      </c>
      <c r="E166" s="531">
        <v>17.440000000000001</v>
      </c>
      <c r="F166" s="531">
        <f t="shared" si="9"/>
        <v>829.27800000000434</v>
      </c>
      <c r="G166" s="531">
        <f t="shared" si="10"/>
        <v>30562.721999999998</v>
      </c>
      <c r="H166" s="578">
        <f t="shared" si="11"/>
        <v>2.71336433973389E-2</v>
      </c>
      <c r="I166" s="531"/>
      <c r="J166" s="531"/>
    </row>
    <row r="167" spans="2:10" x14ac:dyDescent="0.25">
      <c r="B167" s="526">
        <v>42643</v>
      </c>
      <c r="C167" s="530">
        <v>1800</v>
      </c>
      <c r="D167" s="577">
        <v>16.979289999999999</v>
      </c>
      <c r="E167" s="531">
        <v>17.78</v>
      </c>
      <c r="F167" s="531">
        <f t="shared" si="9"/>
        <v>1441.2780000000041</v>
      </c>
      <c r="G167" s="531">
        <f t="shared" si="10"/>
        <v>30562.721999999998</v>
      </c>
      <c r="H167" s="578">
        <f t="shared" si="11"/>
        <v>4.7158037821369583E-2</v>
      </c>
      <c r="I167" s="531"/>
      <c r="J167" s="531"/>
    </row>
    <row r="168" spans="2:10" x14ac:dyDescent="0.25">
      <c r="B168" s="526">
        <v>42647</v>
      </c>
      <c r="C168" s="530">
        <v>2000</v>
      </c>
      <c r="D168" s="577">
        <v>16.989360000000001</v>
      </c>
      <c r="E168" s="531">
        <v>17.8</v>
      </c>
      <c r="F168" s="531">
        <f t="shared" si="9"/>
        <v>1621.2799999999988</v>
      </c>
      <c r="G168" s="531">
        <f t="shared" si="10"/>
        <v>33978.720000000001</v>
      </c>
      <c r="H168" s="578">
        <f t="shared" si="11"/>
        <v>4.7714569589437116E-2</v>
      </c>
      <c r="I168" s="582" t="s">
        <v>291</v>
      </c>
      <c r="J168" s="582" t="s">
        <v>289</v>
      </c>
    </row>
    <row r="169" spans="2:10" x14ac:dyDescent="0.25">
      <c r="B169" s="526">
        <v>42648</v>
      </c>
      <c r="C169" s="530">
        <v>2000</v>
      </c>
      <c r="D169" s="577">
        <v>16.989360000000001</v>
      </c>
      <c r="E169" s="531">
        <v>17.7</v>
      </c>
      <c r="F169" s="531">
        <f t="shared" si="9"/>
        <v>1421.2799999999959</v>
      </c>
      <c r="G169" s="531">
        <f t="shared" si="10"/>
        <v>33978.720000000001</v>
      </c>
      <c r="H169" s="578">
        <f t="shared" si="11"/>
        <v>4.1828532681631204E-2</v>
      </c>
      <c r="I169" s="531"/>
      <c r="J169" s="531"/>
    </row>
    <row r="170" spans="2:10" x14ac:dyDescent="0.25">
      <c r="B170" s="526">
        <v>42661</v>
      </c>
      <c r="C170" s="530">
        <v>2200</v>
      </c>
      <c r="D170" s="577">
        <v>16.96123</v>
      </c>
      <c r="E170" s="531">
        <v>17.41</v>
      </c>
      <c r="F170" s="531">
        <f t="shared" si="9"/>
        <v>987.2939999999993</v>
      </c>
      <c r="G170" s="531">
        <f t="shared" si="10"/>
        <v>37314.705999999998</v>
      </c>
      <c r="H170" s="578">
        <f t="shared" si="11"/>
        <v>2.6458576412205934E-2</v>
      </c>
      <c r="I170" s="531"/>
      <c r="J170" s="531"/>
    </row>
    <row r="171" spans="2:10" x14ac:dyDescent="0.25">
      <c r="B171" s="526">
        <v>42662</v>
      </c>
      <c r="C171" s="530">
        <v>2000</v>
      </c>
      <c r="D171" s="577">
        <v>16.933399999999999</v>
      </c>
      <c r="E171" s="531">
        <v>17.215</v>
      </c>
      <c r="F171" s="531">
        <f t="shared" si="9"/>
        <v>563.20000000000186</v>
      </c>
      <c r="G171" s="531">
        <f t="shared" si="10"/>
        <v>33866.799999999996</v>
      </c>
      <c r="H171" s="578">
        <f t="shared" si="11"/>
        <v>1.6629855787969397E-2</v>
      </c>
      <c r="I171" s="582">
        <v>16.8</v>
      </c>
      <c r="J171" s="531"/>
    </row>
    <row r="172" spans="2:10" x14ac:dyDescent="0.25">
      <c r="B172" s="526">
        <v>42664</v>
      </c>
      <c r="C172" s="530">
        <v>2000</v>
      </c>
      <c r="D172" s="577">
        <v>16.933399999999999</v>
      </c>
      <c r="E172" s="531">
        <v>16.940000000000001</v>
      </c>
      <c r="F172" s="531">
        <f t="shared" ref="F172:F177" si="12">-C172*(D172-E172)</f>
        <v>13.200000000004763</v>
      </c>
      <c r="G172" s="531">
        <f t="shared" ref="G172:G177" si="13">IF(C172=0, 0,D172*C172)</f>
        <v>33866.799999999996</v>
      </c>
      <c r="H172" s="578">
        <f t="shared" ref="H172:H177" si="14">IF(C172=0, D172, (E172-D172)/D172)</f>
        <v>3.8976224503067206E-4</v>
      </c>
      <c r="I172" s="531"/>
      <c r="J172" s="531"/>
    </row>
    <row r="173" spans="2:10" x14ac:dyDescent="0.25">
      <c r="B173" s="526">
        <v>42668</v>
      </c>
      <c r="C173" s="530">
        <v>1800</v>
      </c>
      <c r="D173" s="577">
        <v>16.864930000000001</v>
      </c>
      <c r="E173" s="531">
        <v>17.54</v>
      </c>
      <c r="F173" s="531">
        <f t="shared" si="12"/>
        <v>1215.1259999999966</v>
      </c>
      <c r="G173" s="531">
        <f t="shared" si="13"/>
        <v>30356.874000000003</v>
      </c>
      <c r="H173" s="578">
        <f t="shared" si="14"/>
        <v>4.0028034507110198E-2</v>
      </c>
      <c r="I173" s="531"/>
      <c r="J173" s="531"/>
    </row>
    <row r="174" spans="2:10" x14ac:dyDescent="0.25">
      <c r="B174" s="526">
        <v>42669</v>
      </c>
      <c r="C174" s="530">
        <v>1000</v>
      </c>
      <c r="D174" s="577">
        <v>16.149180000000001</v>
      </c>
      <c r="E174" s="531">
        <v>17.64</v>
      </c>
      <c r="F174" s="531">
        <f t="shared" si="12"/>
        <v>1490.8199999999993</v>
      </c>
      <c r="G174" s="531">
        <f t="shared" si="13"/>
        <v>16149.18</v>
      </c>
      <c r="H174" s="578">
        <f t="shared" si="14"/>
        <v>9.2315523141113007E-2</v>
      </c>
      <c r="I174" s="531"/>
      <c r="J174" s="531"/>
    </row>
    <row r="175" spans="2:10" x14ac:dyDescent="0.25">
      <c r="B175" s="526">
        <v>42670</v>
      </c>
      <c r="C175" s="530">
        <v>1800</v>
      </c>
      <c r="D175" s="577">
        <v>16.753990000000002</v>
      </c>
      <c r="E175" s="531">
        <v>17.53</v>
      </c>
      <c r="F175" s="531">
        <f t="shared" si="12"/>
        <v>1396.8179999999988</v>
      </c>
      <c r="G175" s="531">
        <f t="shared" si="13"/>
        <v>30157.182000000004</v>
      </c>
      <c r="H175" s="578">
        <f t="shared" si="14"/>
        <v>4.6317921880101358E-2</v>
      </c>
      <c r="I175" s="531"/>
      <c r="J175" s="531"/>
    </row>
    <row r="176" spans="2:10" x14ac:dyDescent="0.25">
      <c r="B176" s="526">
        <v>42670</v>
      </c>
      <c r="C176" s="530">
        <v>2000</v>
      </c>
      <c r="D176" s="577">
        <v>16.820589999999999</v>
      </c>
      <c r="E176" s="531">
        <v>17.53</v>
      </c>
      <c r="F176" s="531">
        <f t="shared" si="12"/>
        <v>1418.8200000000038</v>
      </c>
      <c r="G176" s="531">
        <f t="shared" si="13"/>
        <v>33641.18</v>
      </c>
      <c r="H176" s="578">
        <f t="shared" si="14"/>
        <v>4.2175096117318234E-2</v>
      </c>
      <c r="I176" s="582">
        <v>16.8</v>
      </c>
      <c r="J176" s="531"/>
    </row>
    <row r="177" spans="2:17" x14ac:dyDescent="0.25">
      <c r="B177" s="526">
        <v>42671</v>
      </c>
      <c r="C177" s="530">
        <v>2000</v>
      </c>
      <c r="D177" s="577">
        <v>16.752666999999999</v>
      </c>
      <c r="E177" s="531">
        <v>17.2</v>
      </c>
      <c r="F177" s="531">
        <f t="shared" si="12"/>
        <v>894.66600000000085</v>
      </c>
      <c r="G177" s="531">
        <f t="shared" si="13"/>
        <v>33505.333999999995</v>
      </c>
      <c r="H177" s="578">
        <f t="shared" si="14"/>
        <v>2.6702196133905155E-2</v>
      </c>
      <c r="I177" s="582" t="s">
        <v>301</v>
      </c>
      <c r="J177" s="531"/>
    </row>
    <row r="178" spans="2:17" x14ac:dyDescent="0.25">
      <c r="B178" s="526">
        <v>42672</v>
      </c>
      <c r="C178" s="530">
        <v>2000</v>
      </c>
      <c r="D178" s="577">
        <v>16.752666999999999</v>
      </c>
      <c r="E178" s="531">
        <v>17.16</v>
      </c>
      <c r="F178" s="531">
        <f>-C178*(D178-E178)</f>
        <v>814.66600000000255</v>
      </c>
      <c r="G178" s="531">
        <f>IF(C178=0, 0,D178*C178)</f>
        <v>33505.333999999995</v>
      </c>
      <c r="H178" s="578">
        <f>IF(C178=0, D178, (E178-D178)/D178)</f>
        <v>2.4314516608012402E-2</v>
      </c>
      <c r="I178" s="582" t="s">
        <v>301</v>
      </c>
      <c r="J178" s="531"/>
    </row>
    <row r="179" spans="2:17" x14ac:dyDescent="0.25">
      <c r="B179" s="526">
        <v>42675</v>
      </c>
      <c r="C179" s="530">
        <v>2000</v>
      </c>
      <c r="D179" s="577">
        <v>16.742699999999999</v>
      </c>
      <c r="E179" s="531">
        <v>17.2</v>
      </c>
      <c r="F179" s="531">
        <f>-C179*(D179-E179)</f>
        <v>914.60000000000014</v>
      </c>
      <c r="G179" s="531">
        <f>IF(C179=0, 0,D179*C179)</f>
        <v>33485.4</v>
      </c>
      <c r="H179" s="578">
        <f>IF(C179=0, D179, (E179-D179)/D179)</f>
        <v>2.731339628614262E-2</v>
      </c>
      <c r="I179" s="582" t="s">
        <v>301</v>
      </c>
      <c r="J179" s="531"/>
    </row>
    <row r="180" spans="2:17" x14ac:dyDescent="0.25">
      <c r="B180" s="526">
        <v>42676</v>
      </c>
      <c r="C180" s="530">
        <v>2000</v>
      </c>
      <c r="D180" s="577">
        <v>16.742699999999999</v>
      </c>
      <c r="E180" s="531">
        <v>16.675000000000001</v>
      </c>
      <c r="F180" s="531">
        <f t="shared" ref="F180:F191" si="15">-C180*(D180-E180)</f>
        <v>-135.39999999999708</v>
      </c>
      <c r="G180" s="531">
        <f t="shared" ref="G180:G191" si="16">IF(C180=0, 0,D180*C180)</f>
        <v>33485.4</v>
      </c>
      <c r="H180" s="578">
        <f t="shared" ref="H180:H191" si="17">IF(C180=0, D180, (E180-D180)/D180)</f>
        <v>-4.0435533098006019E-3</v>
      </c>
      <c r="I180" s="531"/>
      <c r="J180" s="531"/>
    </row>
    <row r="181" spans="2:17" x14ac:dyDescent="0.25">
      <c r="B181" s="526">
        <v>42678</v>
      </c>
      <c r="C181" s="530">
        <v>2000</v>
      </c>
      <c r="D181" s="577">
        <v>16.7227</v>
      </c>
      <c r="E181" s="531">
        <v>16.68</v>
      </c>
      <c r="F181" s="531">
        <f t="shared" si="15"/>
        <v>-85.39999999999992</v>
      </c>
      <c r="G181" s="531">
        <f t="shared" si="16"/>
        <v>33445.4</v>
      </c>
      <c r="H181" s="578">
        <f t="shared" si="17"/>
        <v>-2.5534154173668102E-3</v>
      </c>
      <c r="I181" s="582" t="s">
        <v>301</v>
      </c>
      <c r="J181" s="531"/>
    </row>
    <row r="182" spans="2:17" x14ac:dyDescent="0.25">
      <c r="B182" s="526">
        <v>42701</v>
      </c>
      <c r="C182" s="530">
        <v>1800</v>
      </c>
      <c r="D182" s="577">
        <v>16.627528999999999</v>
      </c>
      <c r="E182" s="531">
        <v>20.13</v>
      </c>
      <c r="F182" s="531">
        <f t="shared" si="15"/>
        <v>6304.4477999999999</v>
      </c>
      <c r="G182" s="531">
        <f t="shared" si="16"/>
        <v>29929.552199999998</v>
      </c>
      <c r="H182" s="578">
        <f t="shared" si="17"/>
        <v>0.21064290430646671</v>
      </c>
      <c r="I182" s="531"/>
      <c r="J182" s="531"/>
    </row>
    <row r="183" spans="2:17" x14ac:dyDescent="0.25">
      <c r="B183" s="526">
        <v>42702</v>
      </c>
      <c r="C183" s="530">
        <v>1650</v>
      </c>
      <c r="D183" s="577">
        <v>16.310980000000001</v>
      </c>
      <c r="E183" s="531">
        <v>20.059999999999999</v>
      </c>
      <c r="F183" s="531">
        <f t="shared" si="15"/>
        <v>6185.8829999999971</v>
      </c>
      <c r="G183" s="531">
        <f t="shared" si="16"/>
        <v>26913.117000000002</v>
      </c>
      <c r="H183" s="578">
        <f t="shared" si="17"/>
        <v>0.22984639794788528</v>
      </c>
      <c r="I183" s="531"/>
      <c r="J183" s="531"/>
    </row>
    <row r="184" spans="2:17" x14ac:dyDescent="0.25">
      <c r="B184" s="526">
        <v>42705</v>
      </c>
      <c r="C184" s="530">
        <v>1800</v>
      </c>
      <c r="D184" s="577">
        <v>16.541699999999999</v>
      </c>
      <c r="E184" s="531">
        <v>18.48</v>
      </c>
      <c r="F184" s="531">
        <f t="shared" si="15"/>
        <v>3488.9400000000032</v>
      </c>
      <c r="G184" s="531">
        <f t="shared" si="16"/>
        <v>29775.059999999998</v>
      </c>
      <c r="H184" s="578">
        <f t="shared" si="17"/>
        <v>0.11717659007236268</v>
      </c>
      <c r="I184" s="531"/>
      <c r="J184" s="531"/>
    </row>
    <row r="185" spans="2:17" x14ac:dyDescent="0.25">
      <c r="B185" s="526">
        <v>42705</v>
      </c>
      <c r="C185" s="530">
        <v>2000</v>
      </c>
      <c r="D185" s="577">
        <v>16.707599999999999</v>
      </c>
      <c r="E185" s="531">
        <v>18.48</v>
      </c>
      <c r="F185" s="531">
        <f t="shared" si="15"/>
        <v>3544.800000000002</v>
      </c>
      <c r="G185" s="531">
        <f t="shared" si="16"/>
        <v>33415.199999999997</v>
      </c>
      <c r="H185" s="578">
        <f t="shared" si="17"/>
        <v>0.10608345902463556</v>
      </c>
      <c r="I185" s="582">
        <v>16.48</v>
      </c>
      <c r="J185" s="531"/>
    </row>
    <row r="186" spans="2:17" x14ac:dyDescent="0.25">
      <c r="B186" s="526">
        <v>42706</v>
      </c>
      <c r="C186" s="530">
        <v>1800</v>
      </c>
      <c r="D186" s="577">
        <v>16.476199999999999</v>
      </c>
      <c r="E186" s="531">
        <v>18.79</v>
      </c>
      <c r="F186" s="531">
        <f t="shared" si="15"/>
        <v>4164.8400000000011</v>
      </c>
      <c r="G186" s="531">
        <f t="shared" si="16"/>
        <v>29657.159999999996</v>
      </c>
      <c r="H186" s="578">
        <f t="shared" si="17"/>
        <v>0.14043286680181113</v>
      </c>
      <c r="I186" s="531"/>
      <c r="J186" s="531"/>
    </row>
    <row r="187" spans="2:17" x14ac:dyDescent="0.25">
      <c r="B187" s="526">
        <v>42710</v>
      </c>
      <c r="C187" s="530">
        <v>1800</v>
      </c>
      <c r="D187" s="577">
        <v>16.450700000000001</v>
      </c>
      <c r="E187" s="531">
        <v>19.059999999999999</v>
      </c>
      <c r="F187" s="531">
        <f t="shared" si="15"/>
        <v>4696.7399999999952</v>
      </c>
      <c r="G187" s="531">
        <f t="shared" si="16"/>
        <v>29611.260000000002</v>
      </c>
      <c r="H187" s="578">
        <f t="shared" si="17"/>
        <v>0.1586133112876654</v>
      </c>
      <c r="I187" s="531"/>
      <c r="J187" s="531"/>
    </row>
    <row r="188" spans="2:17" x14ac:dyDescent="0.25">
      <c r="B188" s="526">
        <v>42711</v>
      </c>
      <c r="C188" s="530">
        <v>1000</v>
      </c>
      <c r="D188" s="577">
        <v>13.444599999999999</v>
      </c>
      <c r="E188" s="531">
        <v>20.440000000000001</v>
      </c>
      <c r="F188" s="531">
        <f t="shared" si="15"/>
        <v>6995.4000000000015</v>
      </c>
      <c r="G188" s="531">
        <f t="shared" si="16"/>
        <v>13444.599999999999</v>
      </c>
      <c r="H188" s="578">
        <f t="shared" si="17"/>
        <v>0.52031298811418725</v>
      </c>
      <c r="I188" s="531"/>
      <c r="J188" s="531"/>
    </row>
    <row r="189" spans="2:17" x14ac:dyDescent="0.25">
      <c r="B189" s="526">
        <v>42716</v>
      </c>
      <c r="C189" s="530">
        <v>1800</v>
      </c>
      <c r="D189" s="577">
        <v>16.229800000000001</v>
      </c>
      <c r="E189" s="531">
        <v>20.02</v>
      </c>
      <c r="F189" s="531">
        <f t="shared" si="15"/>
        <v>6822.3599999999979</v>
      </c>
      <c r="G189" s="531">
        <f t="shared" si="16"/>
        <v>29213.640000000003</v>
      </c>
      <c r="H189" s="578">
        <f t="shared" si="17"/>
        <v>0.2335333768746379</v>
      </c>
      <c r="I189" s="531"/>
      <c r="J189" s="531"/>
    </row>
    <row r="190" spans="2:17" x14ac:dyDescent="0.25">
      <c r="B190" s="526">
        <v>42716</v>
      </c>
      <c r="C190" s="530">
        <v>1650</v>
      </c>
      <c r="D190" s="577">
        <v>15.888</v>
      </c>
      <c r="E190" s="531">
        <v>20.02</v>
      </c>
      <c r="F190" s="531">
        <f t="shared" si="15"/>
        <v>6817.7999999999993</v>
      </c>
      <c r="G190" s="531">
        <f t="shared" si="16"/>
        <v>26215.200000000001</v>
      </c>
      <c r="H190" s="578">
        <f t="shared" si="17"/>
        <v>0.26007049345417926</v>
      </c>
      <c r="I190" s="531"/>
      <c r="J190" s="531"/>
    </row>
    <row r="191" spans="2:17" x14ac:dyDescent="0.25">
      <c r="B191" s="526">
        <v>42717</v>
      </c>
      <c r="C191" s="530">
        <v>1550</v>
      </c>
      <c r="D191" s="577">
        <v>15.6</v>
      </c>
      <c r="E191" s="531">
        <v>20.13</v>
      </c>
      <c r="F191" s="531">
        <f t="shared" si="15"/>
        <v>7021.4999999999991</v>
      </c>
      <c r="G191" s="531">
        <f t="shared" si="16"/>
        <v>24180</v>
      </c>
      <c r="H191" s="578">
        <f t="shared" si="17"/>
        <v>0.29038461538461535</v>
      </c>
      <c r="I191" s="531"/>
      <c r="J191" s="531"/>
      <c r="Q191" s="4"/>
    </row>
    <row r="192" spans="2:17" x14ac:dyDescent="0.25">
      <c r="B192" s="526">
        <v>42726</v>
      </c>
      <c r="C192" s="530">
        <v>1550</v>
      </c>
      <c r="D192" s="577">
        <v>15.6</v>
      </c>
      <c r="E192" s="531">
        <v>23.2</v>
      </c>
      <c r="F192" s="531">
        <f>-C192*(D192-E192)</f>
        <v>11780</v>
      </c>
      <c r="G192" s="531">
        <f>IF(C192=0, 0,D192*C192)</f>
        <v>24180</v>
      </c>
      <c r="H192" s="578">
        <f>IF(C192=0, D192, (E192-D192)/D192)</f>
        <v>0.48717948717948717</v>
      </c>
      <c r="I192" s="531"/>
      <c r="J192" s="531"/>
      <c r="Q192" s="4"/>
    </row>
    <row r="193" spans="1:17" x14ac:dyDescent="0.25">
      <c r="B193" s="526">
        <v>42733</v>
      </c>
      <c r="C193" s="530">
        <v>1550</v>
      </c>
      <c r="D193" s="577">
        <v>15.6</v>
      </c>
      <c r="E193" s="531">
        <v>22.27</v>
      </c>
      <c r="F193" s="531">
        <f>-C193*(D193-E193)</f>
        <v>10338.5</v>
      </c>
      <c r="G193" s="531">
        <f>IF(C193=0, 0,D193*C193)</f>
        <v>24180</v>
      </c>
      <c r="H193" s="578">
        <f>IF(C193=0, D193, (E193-D193)/D193)</f>
        <v>0.42756410256410254</v>
      </c>
      <c r="I193" s="531"/>
      <c r="J193" s="531"/>
      <c r="Q193" s="4"/>
    </row>
    <row r="194" spans="1:17" x14ac:dyDescent="0.25">
      <c r="B194" s="526">
        <v>42738</v>
      </c>
      <c r="C194" s="530">
        <v>1550</v>
      </c>
      <c r="D194" s="577">
        <v>15.548634</v>
      </c>
      <c r="E194" s="531">
        <v>22.55</v>
      </c>
      <c r="F194" s="531">
        <f>-C194*(D194-E194)</f>
        <v>10852.117300000002</v>
      </c>
      <c r="G194" s="531">
        <f>IF(C194=0, 0,D194*C194)</f>
        <v>24100.382699999998</v>
      </c>
      <c r="H194" s="578">
        <f>IF(C194=0, D194, (E194-D194)/D194)</f>
        <v>0.4502881732247348</v>
      </c>
      <c r="I194" s="531"/>
      <c r="J194" s="531"/>
    </row>
    <row r="195" spans="1:17" x14ac:dyDescent="0.25">
      <c r="B195" s="526"/>
      <c r="C195" s="530"/>
      <c r="D195" s="577"/>
      <c r="E195" s="531"/>
      <c r="F195" s="531"/>
      <c r="G195" s="531"/>
      <c r="H195" s="578"/>
      <c r="I195" s="531"/>
      <c r="J195" s="531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0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0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504</v>
      </c>
      <c r="K200" s="223" t="s">
        <v>471</v>
      </c>
      <c r="L200" s="223" t="s">
        <v>679</v>
      </c>
      <c r="M200" s="4"/>
    </row>
    <row r="201" spans="1:17" x14ac:dyDescent="0.25">
      <c r="A201" s="365" t="s">
        <v>347</v>
      </c>
      <c r="B201" s="364">
        <v>42754</v>
      </c>
      <c r="C201" s="365">
        <v>1550</v>
      </c>
      <c r="D201" s="370">
        <v>20.207419000000002</v>
      </c>
      <c r="E201" s="366">
        <v>21.71</v>
      </c>
      <c r="F201" s="366">
        <f t="shared" ref="F201:F243" si="18">-C201*(D201-E201)</f>
        <v>2329.0005499999988</v>
      </c>
      <c r="G201" s="366">
        <f>IF(C201=0, 0,D201*C201)</f>
        <v>31321.499450000003</v>
      </c>
      <c r="H201" s="368">
        <f t="shared" ref="H201:H243" si="19">IF(C201=0, D201, (E201-D201)/D201)</f>
        <v>7.4357888060815641E-2</v>
      </c>
      <c r="I201" s="366"/>
      <c r="J201" s="366"/>
      <c r="K201" s="366"/>
      <c r="L201" s="366"/>
      <c r="M201" s="4"/>
    </row>
    <row r="202" spans="1:17" x14ac:dyDescent="0.25">
      <c r="A202" s="365" t="s">
        <v>354</v>
      </c>
      <c r="B202" s="364">
        <v>42759</v>
      </c>
      <c r="C202" s="365">
        <v>1350</v>
      </c>
      <c r="D202" s="370">
        <v>19.798221999999999</v>
      </c>
      <c r="E202" s="366">
        <v>22.995000000000001</v>
      </c>
      <c r="F202" s="366">
        <f t="shared" si="18"/>
        <v>4315.650300000003</v>
      </c>
      <c r="G202" s="366">
        <f t="shared" ref="G202:G243" si="20">IF(C202=0, 0,D202*C202)</f>
        <v>26727.599699999999</v>
      </c>
      <c r="H202" s="368">
        <f t="shared" si="19"/>
        <v>0.16146793383769523</v>
      </c>
      <c r="I202" s="366"/>
      <c r="J202" s="366"/>
      <c r="K202" s="366"/>
      <c r="L202" s="366"/>
      <c r="M202" s="4"/>
    </row>
    <row r="203" spans="1:17" x14ac:dyDescent="0.25">
      <c r="A203" s="365" t="s">
        <v>355</v>
      </c>
      <c r="B203" s="364">
        <v>42759</v>
      </c>
      <c r="C203" s="365">
        <v>1550</v>
      </c>
      <c r="D203" s="370">
        <v>20.192</v>
      </c>
      <c r="E203" s="366">
        <v>22.86</v>
      </c>
      <c r="F203" s="366">
        <f t="shared" si="18"/>
        <v>4135.3999999999987</v>
      </c>
      <c r="G203" s="366">
        <f t="shared" si="20"/>
        <v>31297.599999999999</v>
      </c>
      <c r="H203" s="368">
        <f t="shared" si="19"/>
        <v>0.13213153724247223</v>
      </c>
      <c r="I203" s="366"/>
      <c r="J203" s="366"/>
      <c r="K203" s="366"/>
      <c r="L203" s="366"/>
      <c r="M203" s="4"/>
    </row>
    <row r="204" spans="1:17" x14ac:dyDescent="0.25">
      <c r="A204" s="365"/>
      <c r="B204" s="364">
        <v>42760</v>
      </c>
      <c r="C204" s="365">
        <v>950</v>
      </c>
      <c r="D204" s="370">
        <v>17.926220000000001</v>
      </c>
      <c r="E204" s="366">
        <v>23.78</v>
      </c>
      <c r="F204" s="366">
        <f t="shared" si="18"/>
        <v>5561.0910000000003</v>
      </c>
      <c r="G204" s="366">
        <f t="shared" si="20"/>
        <v>17029.909</v>
      </c>
      <c r="H204" s="368">
        <f t="shared" si="19"/>
        <v>0.32654848596078817</v>
      </c>
      <c r="I204" s="366"/>
      <c r="J204" s="366"/>
      <c r="K204" s="366"/>
      <c r="L204" s="366"/>
      <c r="M204" s="4"/>
    </row>
    <row r="205" spans="1:17" x14ac:dyDescent="0.25">
      <c r="A205" s="365" t="s">
        <v>356</v>
      </c>
      <c r="B205" s="364">
        <v>42760</v>
      </c>
      <c r="C205" s="365">
        <v>1550</v>
      </c>
      <c r="D205" s="370">
        <v>20.03736</v>
      </c>
      <c r="E205" s="366">
        <v>23.38</v>
      </c>
      <c r="F205" s="366">
        <f t="shared" si="18"/>
        <v>5181.0919999999987</v>
      </c>
      <c r="G205" s="366">
        <f t="shared" si="20"/>
        <v>31057.907999999999</v>
      </c>
      <c r="H205" s="368">
        <f t="shared" si="19"/>
        <v>0.16682037953103598</v>
      </c>
      <c r="I205" s="366">
        <v>20</v>
      </c>
      <c r="J205" s="366"/>
      <c r="K205" s="366"/>
      <c r="L205" s="366"/>
      <c r="M205" s="4"/>
    </row>
    <row r="206" spans="1:17" x14ac:dyDescent="0.25">
      <c r="A206" s="500" t="s">
        <v>378</v>
      </c>
      <c r="B206" s="499">
        <v>42765</v>
      </c>
      <c r="C206" s="500">
        <v>1350</v>
      </c>
      <c r="D206" s="501">
        <v>23.093333000000001</v>
      </c>
      <c r="E206" s="502">
        <v>24.18</v>
      </c>
      <c r="F206" s="502">
        <f t="shared" si="18"/>
        <v>1467.000449999998</v>
      </c>
      <c r="G206" s="502">
        <f t="shared" si="20"/>
        <v>31175.99955</v>
      </c>
      <c r="H206" s="503">
        <f t="shared" si="19"/>
        <v>4.7055442365118903E-2</v>
      </c>
      <c r="I206" s="502"/>
      <c r="J206" s="502"/>
      <c r="K206" s="502"/>
      <c r="L206" s="502"/>
      <c r="M206" s="4"/>
    </row>
    <row r="207" spans="1:17" x14ac:dyDescent="0.25">
      <c r="A207" s="500" t="s">
        <v>394</v>
      </c>
      <c r="B207" s="499">
        <v>42769</v>
      </c>
      <c r="C207" s="500">
        <v>1350</v>
      </c>
      <c r="D207" s="501">
        <v>23.059799999999999</v>
      </c>
      <c r="E207" s="502">
        <v>24.6</v>
      </c>
      <c r="F207" s="502">
        <f t="shared" si="18"/>
        <v>2079.2700000000032</v>
      </c>
      <c r="G207" s="502">
        <f t="shared" si="20"/>
        <v>31130.73</v>
      </c>
      <c r="H207" s="503">
        <f t="shared" si="19"/>
        <v>6.679155933702817E-2</v>
      </c>
      <c r="I207" s="502"/>
      <c r="J207" s="502"/>
      <c r="K207" s="502"/>
      <c r="L207" s="502"/>
      <c r="M207" s="4"/>
    </row>
    <row r="208" spans="1:17" x14ac:dyDescent="0.25">
      <c r="A208" s="500" t="s">
        <v>419</v>
      </c>
      <c r="B208" s="499">
        <v>42776</v>
      </c>
      <c r="C208" s="500">
        <v>1550</v>
      </c>
      <c r="D208" s="501">
        <v>23.174665000000001</v>
      </c>
      <c r="E208" s="502">
        <v>24.05</v>
      </c>
      <c r="F208" s="502">
        <f t="shared" si="18"/>
        <v>1356.7692499999996</v>
      </c>
      <c r="G208" s="502">
        <f t="shared" si="20"/>
        <v>35920.730750000002</v>
      </c>
      <c r="H208" s="503">
        <f t="shared" si="19"/>
        <v>3.7771204028191979E-2</v>
      </c>
      <c r="I208" s="502">
        <v>23</v>
      </c>
      <c r="J208" s="502"/>
      <c r="K208" s="502"/>
      <c r="L208" s="502"/>
      <c r="M208" s="4"/>
    </row>
    <row r="209" spans="1:13" x14ac:dyDescent="0.25">
      <c r="A209" s="500" t="s">
        <v>424</v>
      </c>
      <c r="B209" s="499">
        <v>42780</v>
      </c>
      <c r="C209" s="500">
        <v>1650</v>
      </c>
      <c r="D209" s="501">
        <v>23.174665000000001</v>
      </c>
      <c r="E209" s="502">
        <v>23.12</v>
      </c>
      <c r="F209" s="502">
        <f t="shared" si="18"/>
        <v>-90.19724999999994</v>
      </c>
      <c r="G209" s="502">
        <f t="shared" si="20"/>
        <v>38238.197250000005</v>
      </c>
      <c r="H209" s="503">
        <f t="shared" si="19"/>
        <v>-2.3588258988856995E-3</v>
      </c>
      <c r="I209" s="502"/>
      <c r="J209" s="502"/>
      <c r="K209" s="502"/>
      <c r="L209" s="502"/>
      <c r="M209" s="3"/>
    </row>
    <row r="210" spans="1:13" x14ac:dyDescent="0.25">
      <c r="A210" s="500" t="s">
        <v>437</v>
      </c>
      <c r="B210" s="499">
        <v>42782</v>
      </c>
      <c r="C210" s="500">
        <v>1550</v>
      </c>
      <c r="D210" s="501">
        <v>23.148890000000002</v>
      </c>
      <c r="E210" s="502">
        <v>22.98</v>
      </c>
      <c r="F210" s="502">
        <f t="shared" si="18"/>
        <v>-261.77950000000169</v>
      </c>
      <c r="G210" s="502">
        <f t="shared" si="20"/>
        <v>35880.779500000004</v>
      </c>
      <c r="H210" s="503">
        <f t="shared" si="19"/>
        <v>-7.2958141837470864E-3</v>
      </c>
      <c r="I210" s="502">
        <v>23</v>
      </c>
      <c r="J210" s="502"/>
      <c r="K210" s="502"/>
      <c r="L210" s="502"/>
      <c r="M210" s="4"/>
    </row>
    <row r="211" spans="1:13" x14ac:dyDescent="0.25">
      <c r="A211" s="638" t="s">
        <v>437</v>
      </c>
      <c r="B211" s="639">
        <v>42788</v>
      </c>
      <c r="C211" s="638">
        <v>1550</v>
      </c>
      <c r="D211" s="648">
        <v>23.390999999999998</v>
      </c>
      <c r="E211" s="640">
        <v>23.75</v>
      </c>
      <c r="F211" s="640">
        <f t="shared" si="18"/>
        <v>556.45000000000277</v>
      </c>
      <c r="G211" s="640">
        <f t="shared" si="20"/>
        <v>36256.049999999996</v>
      </c>
      <c r="H211" s="649">
        <f t="shared" si="19"/>
        <v>1.5347783335470985E-2</v>
      </c>
      <c r="I211" s="640">
        <v>23</v>
      </c>
      <c r="J211" s="640"/>
      <c r="K211" s="640"/>
      <c r="L211" s="640"/>
      <c r="M211" s="4"/>
    </row>
    <row r="212" spans="1:13" x14ac:dyDescent="0.25">
      <c r="A212" s="638" t="s">
        <v>455</v>
      </c>
      <c r="B212" s="639">
        <v>42790</v>
      </c>
      <c r="C212" s="638">
        <v>1550</v>
      </c>
      <c r="D212" s="648">
        <v>23.390999999999998</v>
      </c>
      <c r="E212" s="640">
        <v>23.24</v>
      </c>
      <c r="F212" s="640">
        <f t="shared" si="18"/>
        <v>-234.0499999999997</v>
      </c>
      <c r="G212" s="640">
        <f t="shared" si="20"/>
        <v>36256.049999999996</v>
      </c>
      <c r="H212" s="649">
        <f t="shared" si="19"/>
        <v>-6.4554743277328809E-3</v>
      </c>
      <c r="I212" s="640"/>
      <c r="J212" s="640"/>
      <c r="K212" s="640"/>
      <c r="L212" s="640"/>
      <c r="M212" s="4"/>
    </row>
    <row r="213" spans="1:13" x14ac:dyDescent="0.25">
      <c r="A213" s="638"/>
      <c r="B213" s="639">
        <v>42793</v>
      </c>
      <c r="C213" s="638">
        <v>1550</v>
      </c>
      <c r="D213" s="648">
        <v>23.390999999999998</v>
      </c>
      <c r="E213" s="640">
        <v>23.76</v>
      </c>
      <c r="F213" s="640">
        <f t="shared" si="18"/>
        <v>571.95000000000516</v>
      </c>
      <c r="G213" s="640">
        <f t="shared" si="20"/>
        <v>36256.049999999996</v>
      </c>
      <c r="H213" s="649">
        <f t="shared" si="19"/>
        <v>1.5775298191612303E-2</v>
      </c>
      <c r="I213" s="640"/>
      <c r="J213" s="640"/>
      <c r="K213" s="640"/>
      <c r="L213" s="640"/>
      <c r="M213" s="4"/>
    </row>
    <row r="214" spans="1:13" x14ac:dyDescent="0.25">
      <c r="A214" s="638">
        <v>600</v>
      </c>
      <c r="B214" s="639">
        <v>42795</v>
      </c>
      <c r="C214" s="638">
        <v>1200</v>
      </c>
      <c r="D214" s="648">
        <v>23.166550000000001</v>
      </c>
      <c r="E214" s="640">
        <v>24.55</v>
      </c>
      <c r="F214" s="640">
        <f t="shared" si="18"/>
        <v>1660.1399999999999</v>
      </c>
      <c r="G214" s="640">
        <f t="shared" si="20"/>
        <v>27799.86</v>
      </c>
      <c r="H214" s="649">
        <f t="shared" si="19"/>
        <v>5.9717566922998885E-2</v>
      </c>
      <c r="I214" s="640">
        <v>23</v>
      </c>
      <c r="J214" s="640"/>
      <c r="K214" s="640">
        <v>14210</v>
      </c>
      <c r="L214" s="640">
        <f>(G214-K214)/C214</f>
        <v>11.324883333333334</v>
      </c>
    </row>
    <row r="215" spans="1:13" x14ac:dyDescent="0.25">
      <c r="A215" s="638">
        <v>200</v>
      </c>
      <c r="B215" s="639">
        <v>42796</v>
      </c>
      <c r="C215" s="638">
        <v>1200</v>
      </c>
      <c r="D215" s="648">
        <v>22.916799999999999</v>
      </c>
      <c r="E215" s="640">
        <v>24.7</v>
      </c>
      <c r="F215" s="640">
        <f t="shared" si="18"/>
        <v>2139.8400000000011</v>
      </c>
      <c r="G215" s="640">
        <f t="shared" si="20"/>
        <v>27500.16</v>
      </c>
      <c r="H215" s="649">
        <f t="shared" si="19"/>
        <v>7.7811910912518364E-2</v>
      </c>
      <c r="I215" s="640">
        <v>22.5</v>
      </c>
      <c r="J215" s="640"/>
      <c r="K215" s="640">
        <v>14690</v>
      </c>
      <c r="L215" s="640">
        <f t="shared" ref="L215:L230" si="21">(G215-K215)/C215</f>
        <v>10.675133333333333</v>
      </c>
    </row>
    <row r="216" spans="1:13" x14ac:dyDescent="0.25">
      <c r="A216" s="638">
        <v>100</v>
      </c>
      <c r="B216" s="639">
        <v>42798</v>
      </c>
      <c r="C216" s="638">
        <v>1000</v>
      </c>
      <c r="D216" s="648">
        <v>22.424299999999999</v>
      </c>
      <c r="E216" s="640">
        <v>25.57</v>
      </c>
      <c r="F216" s="640">
        <f t="shared" si="18"/>
        <v>3145.7000000000016</v>
      </c>
      <c r="G216" s="640">
        <f t="shared" si="20"/>
        <v>22424.3</v>
      </c>
      <c r="H216" s="649">
        <f t="shared" si="19"/>
        <v>0.14028085603563997</v>
      </c>
      <c r="I216" s="640"/>
      <c r="J216" s="640"/>
      <c r="K216" s="640">
        <v>15696</v>
      </c>
      <c r="L216" s="640">
        <f t="shared" si="21"/>
        <v>6.7282999999999991</v>
      </c>
    </row>
    <row r="217" spans="1:13" x14ac:dyDescent="0.25">
      <c r="A217" s="638">
        <v>100</v>
      </c>
      <c r="B217" s="639">
        <v>42803</v>
      </c>
      <c r="C217" s="638">
        <v>1100</v>
      </c>
      <c r="D217" s="648">
        <v>22.663</v>
      </c>
      <c r="E217" s="640">
        <v>25.15</v>
      </c>
      <c r="F217" s="640">
        <f t="shared" si="18"/>
        <v>2735.699999999998</v>
      </c>
      <c r="G217" s="640">
        <f t="shared" si="20"/>
        <v>24929.3</v>
      </c>
      <c r="H217" s="649">
        <f t="shared" si="19"/>
        <v>0.1097383400255923</v>
      </c>
      <c r="I217" s="640"/>
      <c r="J217" s="640"/>
      <c r="K217" s="640">
        <v>15286</v>
      </c>
      <c r="L217" s="640">
        <f t="shared" si="21"/>
        <v>8.7666363636363638</v>
      </c>
    </row>
    <row r="218" spans="1:13" x14ac:dyDescent="0.25">
      <c r="A218" s="638">
        <v>0</v>
      </c>
      <c r="B218" s="639">
        <v>42804</v>
      </c>
      <c r="C218" s="638">
        <v>1000</v>
      </c>
      <c r="D218" s="648">
        <v>22.371400000000001</v>
      </c>
      <c r="E218" s="640">
        <v>25.18</v>
      </c>
      <c r="F218" s="640">
        <f t="shared" si="18"/>
        <v>2808.5999999999985</v>
      </c>
      <c r="G218" s="640">
        <f t="shared" si="20"/>
        <v>22371.4</v>
      </c>
      <c r="H218" s="649">
        <f t="shared" si="19"/>
        <v>0.12554422164012974</v>
      </c>
      <c r="I218" s="640"/>
      <c r="J218" s="640"/>
      <c r="K218" s="640">
        <v>15359</v>
      </c>
      <c r="L218" s="640">
        <f t="shared" si="21"/>
        <v>7.0124000000000013</v>
      </c>
    </row>
    <row r="219" spans="1:13" x14ac:dyDescent="0.25">
      <c r="A219" s="638">
        <v>200</v>
      </c>
      <c r="B219" s="639">
        <v>42808</v>
      </c>
      <c r="C219" s="638">
        <v>1000</v>
      </c>
      <c r="D219" s="648">
        <v>22.371400000000001</v>
      </c>
      <c r="E219" s="640">
        <v>25.58</v>
      </c>
      <c r="F219" s="640">
        <f t="shared" si="18"/>
        <v>3208.5999999999972</v>
      </c>
      <c r="G219" s="640">
        <f t="shared" si="20"/>
        <v>22371.4</v>
      </c>
      <c r="H219" s="649">
        <f t="shared" si="19"/>
        <v>0.1434241933897743</v>
      </c>
      <c r="I219" s="640">
        <v>22</v>
      </c>
      <c r="J219" s="640"/>
      <c r="K219" s="640">
        <v>15759</v>
      </c>
      <c r="L219" s="640">
        <f t="shared" si="21"/>
        <v>6.6124000000000018</v>
      </c>
      <c r="M219" s="4"/>
    </row>
    <row r="220" spans="1:13" x14ac:dyDescent="0.25">
      <c r="A220" s="456">
        <v>0</v>
      </c>
      <c r="B220" s="455">
        <v>42809</v>
      </c>
      <c r="C220" s="456">
        <v>1000</v>
      </c>
      <c r="D220" s="628">
        <v>24.635000000000002</v>
      </c>
      <c r="E220" s="457">
        <v>26.12</v>
      </c>
      <c r="F220" s="457">
        <f t="shared" si="18"/>
        <v>1484.9999999999995</v>
      </c>
      <c r="G220" s="457">
        <f t="shared" si="20"/>
        <v>24635</v>
      </c>
      <c r="H220" s="651">
        <f t="shared" si="19"/>
        <v>6.0280089303835979E-2</v>
      </c>
      <c r="I220" s="457">
        <v>24</v>
      </c>
      <c r="J220" s="457">
        <v>68.36</v>
      </c>
      <c r="K220" s="457">
        <v>16373</v>
      </c>
      <c r="L220" s="457">
        <f t="shared" si="21"/>
        <v>8.2620000000000005</v>
      </c>
      <c r="M220" s="4"/>
    </row>
    <row r="221" spans="1:13" x14ac:dyDescent="0.25">
      <c r="A221" s="456">
        <v>0</v>
      </c>
      <c r="B221" s="455">
        <v>42817</v>
      </c>
      <c r="C221" s="456">
        <v>900</v>
      </c>
      <c r="D221" s="628">
        <v>24.152000000000001</v>
      </c>
      <c r="E221" s="457">
        <v>26.47</v>
      </c>
      <c r="F221" s="457">
        <f t="shared" si="18"/>
        <v>2086.199999999998</v>
      </c>
      <c r="G221" s="457">
        <f t="shared" si="20"/>
        <v>21736.799999999999</v>
      </c>
      <c r="H221" s="651">
        <f t="shared" si="19"/>
        <v>9.5975488572374867E-2</v>
      </c>
      <c r="I221" s="457"/>
      <c r="J221" s="457"/>
      <c r="K221" s="457">
        <v>16974</v>
      </c>
      <c r="L221" s="457">
        <f t="shared" si="21"/>
        <v>5.2919999999999989</v>
      </c>
      <c r="M221" s="4"/>
    </row>
    <row r="222" spans="1:13" x14ac:dyDescent="0.25">
      <c r="A222" s="456">
        <v>0</v>
      </c>
      <c r="B222" s="455">
        <v>42818</v>
      </c>
      <c r="C222" s="456">
        <v>1000</v>
      </c>
      <c r="D222" s="628">
        <v>24.585000000000001</v>
      </c>
      <c r="E222" s="457">
        <v>28.43</v>
      </c>
      <c r="F222" s="457">
        <f t="shared" si="18"/>
        <v>3844.9999999999991</v>
      </c>
      <c r="G222" s="457">
        <f t="shared" si="20"/>
        <v>24585</v>
      </c>
      <c r="H222" s="651">
        <f t="shared" si="19"/>
        <v>0.15639617653040466</v>
      </c>
      <c r="I222" s="457">
        <v>24</v>
      </c>
      <c r="J222" s="457"/>
      <c r="K222" s="457">
        <v>18733</v>
      </c>
      <c r="L222" s="457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2" t="s">
        <v>7</v>
      </c>
      <c r="J260" s="472" t="s">
        <v>95</v>
      </c>
      <c r="K260" s="472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1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1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1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1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1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1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1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1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1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1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1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1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1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1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1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1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1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1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1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1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1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1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1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1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1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1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1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1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1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1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1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1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1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1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1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1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1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1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1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1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1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1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1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1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1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1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1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1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1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1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1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1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1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1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1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1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3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1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3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1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3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3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3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3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1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1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1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1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1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1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1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1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1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1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1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1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1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3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3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3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1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1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1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1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1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3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3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3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3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3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3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1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1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1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1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1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1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1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1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4" t="s">
        <v>201</v>
      </c>
      <c r="B351" s="551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4"/>
      <c r="B352" s="551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4"/>
      <c r="B353" s="551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1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1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1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1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1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1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1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1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1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1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1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1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1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1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1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1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1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1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1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1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1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1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1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1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1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1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1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1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1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1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1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1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1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5" t="s">
        <v>256</v>
      </c>
    </row>
    <row r="386" spans="1:13" x14ac:dyDescent="0.25">
      <c r="A386" s="253"/>
      <c r="B386" s="551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5"/>
    </row>
    <row r="387" spans="1:13" x14ac:dyDescent="0.25">
      <c r="A387" s="253"/>
      <c r="B387" s="551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5"/>
    </row>
    <row r="388" spans="1:13" x14ac:dyDescent="0.25">
      <c r="A388" s="253"/>
      <c r="B388" s="551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5"/>
    </row>
    <row r="389" spans="1:13" x14ac:dyDescent="0.25">
      <c r="A389" s="253"/>
      <c r="B389" s="551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1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1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1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1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1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1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1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1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1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1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1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1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1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1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1"/>
      <c r="C404" s="253"/>
      <c r="D404" s="254"/>
      <c r="E404" s="254"/>
      <c r="F404" s="254">
        <f t="shared" si="29"/>
        <v>0</v>
      </c>
      <c r="G404" s="672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1"/>
      <c r="C405" s="253"/>
      <c r="D405" s="254"/>
      <c r="E405" s="254"/>
      <c r="F405" s="254">
        <f t="shared" si="29"/>
        <v>0</v>
      </c>
      <c r="G405" s="672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1"/>
      <c r="C406" s="253"/>
      <c r="D406" s="254"/>
      <c r="E406" s="254"/>
      <c r="F406" s="254">
        <f t="shared" si="29"/>
        <v>0</v>
      </c>
      <c r="G406" s="672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1"/>
      <c r="C407" s="253"/>
      <c r="D407" s="254"/>
      <c r="E407" s="254"/>
      <c r="F407" s="254">
        <f t="shared" si="29"/>
        <v>0</v>
      </c>
      <c r="G407" s="672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1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1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1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1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1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1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1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1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1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1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1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1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7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7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1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7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7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7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7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7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7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7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7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1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7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1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7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7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7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7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7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7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7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7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7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7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7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7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7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7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1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2" t="s">
        <v>194</v>
      </c>
      <c r="B451" s="443"/>
      <c r="C451" s="444">
        <f>SumByColor($A$23,C261:C449)</f>
        <v>3800</v>
      </c>
      <c r="D451" s="444"/>
      <c r="E451" s="444"/>
      <c r="F451" s="445">
        <f>SumByColor($A$23,F261:F449)</f>
        <v>94879</v>
      </c>
      <c r="G451" s="444"/>
      <c r="H451" s="444">
        <f>SumByColor($A$23,H261:H449)</f>
        <v>3800</v>
      </c>
      <c r="I451" s="444"/>
      <c r="J451" s="444"/>
      <c r="K451" s="445">
        <f>SumByColor($A$23,K261:K449)</f>
        <v>103844</v>
      </c>
      <c r="L451" s="444"/>
      <c r="M451" s="445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8" priority="137">
      <formula>F30&gt;0</formula>
    </cfRule>
    <cfRule type="expression" dxfId="847" priority="138">
      <formula>F30&lt;0</formula>
    </cfRule>
  </conditionalFormatting>
  <conditionalFormatting sqref="H47:H58">
    <cfRule type="expression" dxfId="846" priority="129">
      <formula>H47&gt;0</formula>
    </cfRule>
    <cfRule type="expression" dxfId="845" priority="130">
      <formula>H47&lt;0</formula>
    </cfRule>
  </conditionalFormatting>
  <conditionalFormatting sqref="H59">
    <cfRule type="expression" dxfId="844" priority="119">
      <formula>H59&gt;0</formula>
    </cfRule>
    <cfRule type="expression" dxfId="843" priority="120">
      <formula>H59&lt;0</formula>
    </cfRule>
  </conditionalFormatting>
  <conditionalFormatting sqref="H60">
    <cfRule type="expression" dxfId="842" priority="115">
      <formula>H60&gt;0</formula>
    </cfRule>
    <cfRule type="expression" dxfId="841" priority="116">
      <formula>H60&lt;0</formula>
    </cfRule>
  </conditionalFormatting>
  <conditionalFormatting sqref="H61:H66">
    <cfRule type="expression" dxfId="840" priority="111">
      <formula>H61&gt;0</formula>
    </cfRule>
    <cfRule type="expression" dxfId="839" priority="112">
      <formula>H61&lt;0</formula>
    </cfRule>
  </conditionalFormatting>
  <conditionalFormatting sqref="Q8">
    <cfRule type="expression" dxfId="838" priority="95">
      <formula>Q8&gt;0</formula>
    </cfRule>
    <cfRule type="expression" dxfId="837" priority="96">
      <formula>Q8&lt;0</formula>
    </cfRule>
  </conditionalFormatting>
  <conditionalFormatting sqref="Q7">
    <cfRule type="expression" dxfId="836" priority="97">
      <formula>Q7&gt;0</formula>
    </cfRule>
    <cfRule type="expression" dxfId="835" priority="98">
      <formula>Q7&lt;0</formula>
    </cfRule>
  </conditionalFormatting>
  <conditionalFormatting sqref="F178 H178">
    <cfRule type="expression" dxfId="834" priority="93">
      <formula>F178&gt;0</formula>
    </cfRule>
    <cfRule type="expression" dxfId="833" priority="94">
      <formula>F178&lt;0</formula>
    </cfRule>
  </conditionalFormatting>
  <conditionalFormatting sqref="Q10">
    <cfRule type="expression" dxfId="832" priority="87">
      <formula>Q10&gt;0</formula>
    </cfRule>
    <cfRule type="expression" dxfId="831" priority="88">
      <formula>Q10&lt;0</formula>
    </cfRule>
  </conditionalFormatting>
  <conditionalFormatting sqref="Q9">
    <cfRule type="expression" dxfId="830" priority="81">
      <formula>Q9&gt;0</formula>
    </cfRule>
    <cfRule type="expression" dxfId="829" priority="82">
      <formula>Q9&lt;0</formula>
    </cfRule>
  </conditionalFormatting>
  <conditionalFormatting sqref="F201:F248">
    <cfRule type="expression" dxfId="828" priority="41">
      <formula>F201&gt;0</formula>
    </cfRule>
    <cfRule type="expression" dxfId="827" priority="42">
      <formula>F201&lt;0</formula>
    </cfRule>
  </conditionalFormatting>
  <conditionalFormatting sqref="H201:H248">
    <cfRule type="expression" dxfId="826" priority="39">
      <formula>H201&gt;0</formula>
    </cfRule>
    <cfRule type="expression" dxfId="825" priority="40">
      <formula>H201&lt;0</formula>
    </cfRule>
  </conditionalFormatting>
  <conditionalFormatting sqref="J208">
    <cfRule type="expression" dxfId="824" priority="37">
      <formula>J208&gt;0</formula>
    </cfRule>
    <cfRule type="expression" dxfId="823" priority="38">
      <formula>J208&lt;0</formula>
    </cfRule>
  </conditionalFormatting>
  <conditionalFormatting sqref="J214:J215">
    <cfRule type="expression" dxfId="822" priority="35">
      <formula>J214&gt;0</formula>
    </cfRule>
    <cfRule type="expression" dxfId="821" priority="36">
      <formula>J214&lt;0</formula>
    </cfRule>
  </conditionalFormatting>
  <conditionalFormatting sqref="J216">
    <cfRule type="expression" dxfId="820" priority="33">
      <formula>J216&gt;0</formula>
    </cfRule>
    <cfRule type="expression" dxfId="819" priority="34">
      <formula>J216&lt;0</formula>
    </cfRule>
  </conditionalFormatting>
  <conditionalFormatting sqref="J217:J219 J221:J224">
    <cfRule type="expression" dxfId="818" priority="31">
      <formula>J217&gt;0</formula>
    </cfRule>
    <cfRule type="expression" dxfId="817" priority="32">
      <formula>J217&lt;0</formula>
    </cfRule>
  </conditionalFormatting>
  <conditionalFormatting sqref="K208">
    <cfRule type="expression" dxfId="816" priority="29">
      <formula>K208&gt;0</formula>
    </cfRule>
    <cfRule type="expression" dxfId="815" priority="30">
      <formula>K208&lt;0</formula>
    </cfRule>
  </conditionalFormatting>
  <conditionalFormatting sqref="K214:K215">
    <cfRule type="expression" dxfId="814" priority="27">
      <formula>K214&gt;0</formula>
    </cfRule>
    <cfRule type="expression" dxfId="813" priority="28">
      <formula>K214&lt;0</formula>
    </cfRule>
  </conditionalFormatting>
  <conditionalFormatting sqref="K216">
    <cfRule type="expression" dxfId="812" priority="25">
      <formula>K216&gt;0</formula>
    </cfRule>
    <cfRule type="expression" dxfId="811" priority="26">
      <formula>K216&lt;0</formula>
    </cfRule>
  </conditionalFormatting>
  <conditionalFormatting sqref="K217:K224">
    <cfRule type="expression" dxfId="810" priority="23">
      <formula>K217&gt;0</formula>
    </cfRule>
    <cfRule type="expression" dxfId="809" priority="24">
      <formula>K217&lt;0</formula>
    </cfRule>
  </conditionalFormatting>
  <conditionalFormatting sqref="L208">
    <cfRule type="expression" dxfId="808" priority="21">
      <formula>L208&gt;0</formula>
    </cfRule>
    <cfRule type="expression" dxfId="807" priority="22">
      <formula>L208&lt;0</formula>
    </cfRule>
  </conditionalFormatting>
  <conditionalFormatting sqref="L214:L215">
    <cfRule type="expression" dxfId="806" priority="19">
      <formula>L214&gt;0</formula>
    </cfRule>
    <cfRule type="expression" dxfId="805" priority="20">
      <formula>L214&lt;0</formula>
    </cfRule>
  </conditionalFormatting>
  <conditionalFormatting sqref="L216">
    <cfRule type="expression" dxfId="804" priority="17">
      <formula>L216&gt;0</formula>
    </cfRule>
    <cfRule type="expression" dxfId="803" priority="18">
      <formula>L216&lt;0</formula>
    </cfRule>
  </conditionalFormatting>
  <conditionalFormatting sqref="L217:L224">
    <cfRule type="expression" dxfId="802" priority="15">
      <formula>L217&gt;0</formula>
    </cfRule>
    <cfRule type="expression" dxfId="801" priority="16">
      <formula>L217&lt;0</formula>
    </cfRule>
  </conditionalFormatting>
  <conditionalFormatting sqref="K225">
    <cfRule type="expression" dxfId="800" priority="13">
      <formula>K225&gt;0</formula>
    </cfRule>
    <cfRule type="expression" dxfId="799" priority="14">
      <formula>K225&lt;0</formula>
    </cfRule>
  </conditionalFormatting>
  <conditionalFormatting sqref="L225:L232">
    <cfRule type="expression" dxfId="798" priority="11">
      <formula>L225&gt;0</formula>
    </cfRule>
    <cfRule type="expression" dxfId="797" priority="12">
      <formula>L225&lt;0</formula>
    </cfRule>
  </conditionalFormatting>
  <conditionalFormatting sqref="K226">
    <cfRule type="expression" dxfId="796" priority="9">
      <formula>K226&gt;0</formula>
    </cfRule>
    <cfRule type="expression" dxfId="795" priority="10">
      <formula>K226&lt;0</formula>
    </cfRule>
  </conditionalFormatting>
  <conditionalFormatting sqref="K227">
    <cfRule type="expression" dxfId="794" priority="7">
      <formula>K227&gt;0</formula>
    </cfRule>
    <cfRule type="expression" dxfId="793" priority="8">
      <formula>K227&lt;0</formula>
    </cfRule>
  </conditionalFormatting>
  <conditionalFormatting sqref="K228:K248">
    <cfRule type="expression" dxfId="792" priority="5">
      <formula>K228&gt;0</formula>
    </cfRule>
    <cfRule type="expression" dxfId="791" priority="6">
      <formula>K228&lt;0</formula>
    </cfRule>
  </conditionalFormatting>
  <conditionalFormatting sqref="L233:L237">
    <cfRule type="expression" dxfId="790" priority="3">
      <formula>L233&gt;0</formula>
    </cfRule>
    <cfRule type="expression" dxfId="789" priority="4">
      <formula>L233&lt;0</formula>
    </cfRule>
  </conditionalFormatting>
  <conditionalFormatting sqref="L238:L243">
    <cfRule type="expression" dxfId="788" priority="1">
      <formula>L238&gt;0</formula>
    </cfRule>
    <cfRule type="expression" dxfId="78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3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1" t="s">
        <v>5</v>
      </c>
      <c r="E31" s="371" t="s">
        <v>90</v>
      </c>
      <c r="F31" s="371" t="s">
        <v>60</v>
      </c>
      <c r="G31" s="371" t="s">
        <v>3</v>
      </c>
      <c r="H31" s="400" t="s">
        <v>6</v>
      </c>
      <c r="I31" s="371" t="s">
        <v>7</v>
      </c>
      <c r="J31" s="371" t="s">
        <v>89</v>
      </c>
      <c r="K31" s="371" t="s">
        <v>61</v>
      </c>
      <c r="L31" s="371" t="s">
        <v>77</v>
      </c>
      <c r="M31" s="37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4" t="s">
        <v>172</v>
      </c>
      <c r="B32" s="364">
        <v>42376</v>
      </c>
      <c r="C32" s="365">
        <v>100</v>
      </c>
      <c r="D32" s="366">
        <v>36.659999999999997</v>
      </c>
      <c r="E32" s="366">
        <v>0</v>
      </c>
      <c r="F32" s="366">
        <f>C32*D32+E32</f>
        <v>3665.9999999999995</v>
      </c>
      <c r="G32" s="401">
        <v>42432</v>
      </c>
      <c r="H32" s="384">
        <v>100</v>
      </c>
      <c r="I32" s="385">
        <v>37.42</v>
      </c>
      <c r="J32" s="385">
        <v>0.08</v>
      </c>
      <c r="K32" s="386">
        <f>I32*H32-J32</f>
        <v>3741.92</v>
      </c>
      <c r="L32" s="364">
        <v>42444</v>
      </c>
      <c r="M32" s="38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5" t="s">
        <v>71</v>
      </c>
      <c r="B33" s="364"/>
      <c r="C33" s="365"/>
      <c r="D33" s="366"/>
      <c r="E33" s="366"/>
      <c r="F33" s="366"/>
      <c r="G33" s="364"/>
      <c r="H33" s="369"/>
      <c r="I33" s="365"/>
      <c r="J33" s="365"/>
      <c r="K33" s="386"/>
      <c r="L33" s="364"/>
      <c r="M33" s="36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5"/>
      <c r="B34" s="364"/>
      <c r="C34" s="365"/>
      <c r="D34" s="366"/>
      <c r="E34" s="366"/>
      <c r="F34" s="366"/>
      <c r="G34" s="364"/>
      <c r="H34" s="369"/>
      <c r="I34" s="365"/>
      <c r="J34" s="366"/>
      <c r="K34" s="385"/>
      <c r="L34" s="365"/>
      <c r="M34" s="36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5"/>
      <c r="B35" s="364"/>
      <c r="C35" s="365"/>
      <c r="D35" s="366"/>
      <c r="E35" s="366"/>
      <c r="F35" s="366"/>
      <c r="G35" s="364"/>
      <c r="H35" s="369"/>
      <c r="I35" s="365"/>
      <c r="J35" s="366"/>
      <c r="K35" s="385"/>
      <c r="L35" s="365"/>
      <c r="M35" s="36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5"/>
      <c r="B36" s="365"/>
      <c r="C36" s="365"/>
      <c r="D36" s="365"/>
      <c r="E36" s="365"/>
      <c r="F36" s="365"/>
      <c r="G36" s="365"/>
      <c r="H36" s="369"/>
      <c r="I36" s="365"/>
      <c r="J36" s="365"/>
      <c r="K36" s="365"/>
      <c r="L36" s="365"/>
      <c r="M36" s="36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5"/>
      <c r="B38" s="365"/>
      <c r="C38" s="365"/>
      <c r="D38" s="365"/>
      <c r="E38" s="365"/>
      <c r="F38" s="365"/>
      <c r="G38" s="365"/>
      <c r="H38" s="369"/>
      <c r="I38" s="365"/>
      <c r="J38" s="365"/>
      <c r="K38" s="365"/>
      <c r="L38" s="365"/>
      <c r="M38" s="36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7" t="s">
        <v>78</v>
      </c>
      <c r="P40" s="84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6" priority="11">
      <formula>F27&gt;0</formula>
    </cfRule>
    <cfRule type="expression" dxfId="785" priority="12">
      <formula>F27&lt;0</formula>
    </cfRule>
  </conditionalFormatting>
  <conditionalFormatting sqref="H27:H29">
    <cfRule type="expression" dxfId="784" priority="9">
      <formula>H27&gt;0</formula>
    </cfRule>
    <cfRule type="expression" dxfId="783" priority="10">
      <formula>H27&lt;0</formula>
    </cfRule>
  </conditionalFormatting>
  <conditionalFormatting sqref="F23:F26">
    <cfRule type="expression" dxfId="782" priority="7">
      <formula>F23&gt;0</formula>
    </cfRule>
    <cfRule type="expression" dxfId="781" priority="8">
      <formula>F23&lt;0</formula>
    </cfRule>
  </conditionalFormatting>
  <conditionalFormatting sqref="H23:H26">
    <cfRule type="expression" dxfId="780" priority="5">
      <formula>H23&gt;0</formula>
    </cfRule>
    <cfRule type="expression" dxfId="779" priority="6">
      <formula>H23&lt;0</formula>
    </cfRule>
  </conditionalFormatting>
  <conditionalFormatting sqref="Q8">
    <cfRule type="expression" dxfId="778" priority="1">
      <formula>Q8&gt;0</formula>
    </cfRule>
    <cfRule type="expression" dxfId="777" priority="2">
      <formula>Q8&lt;0</formula>
    </cfRule>
  </conditionalFormatting>
  <conditionalFormatting sqref="Q7">
    <cfRule type="expression" dxfId="776" priority="3">
      <formula>Q7&gt;0</formula>
    </cfRule>
    <cfRule type="expression" dxfId="77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3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3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4">
        <v>42247</v>
      </c>
      <c r="H35" s="395">
        <v>100</v>
      </c>
      <c r="I35" s="357">
        <v>27.15</v>
      </c>
      <c r="J35" s="357">
        <v>0.05</v>
      </c>
      <c r="K35" s="267">
        <f t="shared" ref="K35:K43" si="2">H35*I35-J35</f>
        <v>2714.95</v>
      </c>
      <c r="L35" s="258">
        <v>42248</v>
      </c>
      <c r="M35" s="357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7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7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7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7">
        <f t="shared" si="2"/>
        <v>6563.88</v>
      </c>
      <c r="L40" s="253"/>
      <c r="M40" s="253"/>
      <c r="O40" s="847" t="s">
        <v>78</v>
      </c>
      <c r="P40" s="84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7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7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7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613</v>
      </c>
      <c r="V45" s="39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614</v>
      </c>
      <c r="V46" s="39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429</v>
      </c>
      <c r="V49" s="39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615</v>
      </c>
      <c r="V51" s="39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514</v>
      </c>
      <c r="V52" s="39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39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39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616</v>
      </c>
      <c r="V55" s="39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549</v>
      </c>
      <c r="V58" s="39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4" priority="7">
      <formula>F21&gt;0</formula>
    </cfRule>
    <cfRule type="expression" dxfId="773" priority="8">
      <formula>F21&lt;0</formula>
    </cfRule>
  </conditionalFormatting>
  <conditionalFormatting sqref="F22">
    <cfRule type="expression" dxfId="772" priority="5">
      <formula>F22&gt;0</formula>
    </cfRule>
    <cfRule type="expression" dxfId="771" priority="6">
      <formula>F22&lt;0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7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78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7" t="s">
        <v>78</v>
      </c>
      <c r="P44" s="84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8" t="s">
        <v>1</v>
      </c>
      <c r="B76" s="379" t="s">
        <v>2</v>
      </c>
      <c r="C76" s="378" t="s">
        <v>4</v>
      </c>
      <c r="D76" s="380" t="s">
        <v>5</v>
      </c>
      <c r="E76" s="381" t="s">
        <v>90</v>
      </c>
      <c r="F76" s="381" t="s">
        <v>60</v>
      </c>
      <c r="G76" s="378" t="s">
        <v>3</v>
      </c>
      <c r="H76" s="382" t="s">
        <v>6</v>
      </c>
      <c r="I76" s="381" t="s">
        <v>7</v>
      </c>
      <c r="J76" s="381" t="s">
        <v>89</v>
      </c>
      <c r="K76" s="381" t="s">
        <v>61</v>
      </c>
      <c r="L76" s="378" t="s">
        <v>43</v>
      </c>
      <c r="M76" s="378" t="s">
        <v>38</v>
      </c>
    </row>
    <row r="77" spans="1:31" x14ac:dyDescent="0.25">
      <c r="A77" s="374" t="s">
        <v>22</v>
      </c>
      <c r="B77" s="383">
        <v>42153</v>
      </c>
      <c r="C77" s="365">
        <v>20</v>
      </c>
      <c r="D77" s="370">
        <v>67.3</v>
      </c>
      <c r="E77" s="366">
        <v>0</v>
      </c>
      <c r="F77" s="366">
        <f t="shared" ref="F77:F126" si="6">D77*C77+E77</f>
        <v>1346</v>
      </c>
      <c r="G77" s="364">
        <v>42219</v>
      </c>
      <c r="H77" s="384">
        <v>25</v>
      </c>
      <c r="I77" s="385">
        <v>60.05</v>
      </c>
      <c r="J77" s="385">
        <v>0.03</v>
      </c>
      <c r="K77" s="385">
        <f t="shared" ref="K77:K112" si="7">H77*I77-J77</f>
        <v>1501.22</v>
      </c>
      <c r="L77" s="364">
        <v>42185</v>
      </c>
      <c r="M77" s="366">
        <v>5</v>
      </c>
    </row>
    <row r="78" spans="1:31" x14ac:dyDescent="0.25">
      <c r="A78" s="375" t="s">
        <v>71</v>
      </c>
      <c r="B78" s="383">
        <v>42205</v>
      </c>
      <c r="C78" s="365">
        <v>20</v>
      </c>
      <c r="D78" s="370">
        <v>63.4</v>
      </c>
      <c r="E78" s="366">
        <v>0</v>
      </c>
      <c r="F78" s="366">
        <f t="shared" si="6"/>
        <v>1268</v>
      </c>
      <c r="G78" s="364">
        <v>42219</v>
      </c>
      <c r="H78" s="384">
        <v>55</v>
      </c>
      <c r="I78" s="385">
        <v>59.75</v>
      </c>
      <c r="J78" s="385">
        <v>0.06</v>
      </c>
      <c r="K78" s="385">
        <f t="shared" si="7"/>
        <v>3286.19</v>
      </c>
      <c r="L78" s="364">
        <v>42277</v>
      </c>
      <c r="M78" s="366">
        <v>37.5</v>
      </c>
    </row>
    <row r="79" spans="1:31" x14ac:dyDescent="0.25">
      <c r="A79" s="365"/>
      <c r="B79" s="383">
        <v>42205</v>
      </c>
      <c r="C79" s="365">
        <v>20</v>
      </c>
      <c r="D79" s="370">
        <v>63.15</v>
      </c>
      <c r="E79" s="366">
        <v>0</v>
      </c>
      <c r="F79" s="366">
        <f t="shared" si="6"/>
        <v>1263</v>
      </c>
      <c r="G79" s="364">
        <v>42250</v>
      </c>
      <c r="H79" s="369">
        <v>100</v>
      </c>
      <c r="I79" s="366">
        <v>59.4</v>
      </c>
      <c r="J79" s="366">
        <v>0.11</v>
      </c>
      <c r="K79" s="385">
        <f t="shared" si="7"/>
        <v>5939.89</v>
      </c>
      <c r="L79" s="364">
        <v>42734</v>
      </c>
      <c r="M79" s="366">
        <v>100</v>
      </c>
    </row>
    <row r="80" spans="1:31" x14ac:dyDescent="0.25">
      <c r="A80" s="365"/>
      <c r="B80" s="383">
        <v>42207</v>
      </c>
      <c r="C80" s="365">
        <v>10</v>
      </c>
      <c r="D80" s="370">
        <v>62</v>
      </c>
      <c r="E80" s="366">
        <v>0</v>
      </c>
      <c r="F80" s="366">
        <f t="shared" si="6"/>
        <v>620</v>
      </c>
      <c r="G80" s="364">
        <v>42258</v>
      </c>
      <c r="H80" s="369">
        <v>80</v>
      </c>
      <c r="I80" s="366">
        <v>56.47</v>
      </c>
      <c r="J80" s="366">
        <v>0.08</v>
      </c>
      <c r="K80" s="385">
        <f t="shared" si="7"/>
        <v>4517.5200000000004</v>
      </c>
      <c r="L80" s="364">
        <v>42459</v>
      </c>
      <c r="M80" s="366">
        <v>25</v>
      </c>
    </row>
    <row r="81" spans="1:13" x14ac:dyDescent="0.25">
      <c r="A81" s="365"/>
      <c r="B81" s="383">
        <v>42207</v>
      </c>
      <c r="C81" s="365">
        <v>5</v>
      </c>
      <c r="D81" s="370">
        <v>61.6</v>
      </c>
      <c r="E81" s="366">
        <v>0</v>
      </c>
      <c r="F81" s="366">
        <f t="shared" si="6"/>
        <v>308</v>
      </c>
      <c r="G81" s="364">
        <v>42263</v>
      </c>
      <c r="H81" s="369">
        <v>80</v>
      </c>
      <c r="I81" s="366">
        <v>52.55</v>
      </c>
      <c r="J81" s="366">
        <v>0.08</v>
      </c>
      <c r="K81" s="385">
        <f t="shared" si="7"/>
        <v>4203.92</v>
      </c>
      <c r="L81" s="365"/>
      <c r="M81" s="366"/>
    </row>
    <row r="82" spans="1:13" x14ac:dyDescent="0.25">
      <c r="A82" s="365"/>
      <c r="B82" s="383">
        <v>42207</v>
      </c>
      <c r="C82" s="365">
        <v>20</v>
      </c>
      <c r="D82" s="370">
        <v>59.85</v>
      </c>
      <c r="E82" s="366">
        <v>0</v>
      </c>
      <c r="F82" s="366">
        <f t="shared" si="6"/>
        <v>1197</v>
      </c>
      <c r="G82" s="364">
        <v>42284</v>
      </c>
      <c r="H82" s="369">
        <v>50</v>
      </c>
      <c r="I82" s="366">
        <v>52.85</v>
      </c>
      <c r="J82" s="366">
        <v>0.05</v>
      </c>
      <c r="K82" s="385">
        <f t="shared" si="7"/>
        <v>2642.45</v>
      </c>
      <c r="L82" s="365"/>
      <c r="M82" s="366"/>
    </row>
    <row r="83" spans="1:13" x14ac:dyDescent="0.25">
      <c r="A83" s="365"/>
      <c r="B83" s="383">
        <v>42208</v>
      </c>
      <c r="C83" s="365">
        <v>5</v>
      </c>
      <c r="D83" s="370">
        <v>61.3</v>
      </c>
      <c r="E83" s="366">
        <v>0</v>
      </c>
      <c r="F83" s="366">
        <f t="shared" si="6"/>
        <v>306.5</v>
      </c>
      <c r="G83" s="364">
        <v>42284</v>
      </c>
      <c r="H83" s="369">
        <v>30</v>
      </c>
      <c r="I83" s="366">
        <v>53.05</v>
      </c>
      <c r="J83" s="366">
        <v>0.03</v>
      </c>
      <c r="K83" s="385">
        <f t="shared" si="7"/>
        <v>1591.47</v>
      </c>
      <c r="L83" s="365"/>
      <c r="M83" s="366"/>
    </row>
    <row r="84" spans="1:13" x14ac:dyDescent="0.25">
      <c r="A84" s="365"/>
      <c r="B84" s="383">
        <v>42219</v>
      </c>
      <c r="C84" s="386">
        <v>25</v>
      </c>
      <c r="D84" s="370">
        <v>59.4</v>
      </c>
      <c r="E84" s="366">
        <v>0</v>
      </c>
      <c r="F84" s="366">
        <f t="shared" si="6"/>
        <v>1485</v>
      </c>
      <c r="G84" s="364">
        <v>42291</v>
      </c>
      <c r="H84" s="369">
        <v>80</v>
      </c>
      <c r="I84" s="366">
        <v>61.6</v>
      </c>
      <c r="J84" s="366">
        <v>0.09</v>
      </c>
      <c r="K84" s="385">
        <f t="shared" si="7"/>
        <v>4927.91</v>
      </c>
      <c r="L84" s="365"/>
      <c r="M84" s="366"/>
    </row>
    <row r="85" spans="1:13" x14ac:dyDescent="0.25">
      <c r="A85" s="365"/>
      <c r="B85" s="383">
        <v>42219</v>
      </c>
      <c r="C85" s="386">
        <v>50</v>
      </c>
      <c r="D85" s="370">
        <v>59.2</v>
      </c>
      <c r="E85" s="366">
        <v>0</v>
      </c>
      <c r="F85" s="366">
        <f t="shared" si="6"/>
        <v>2960</v>
      </c>
      <c r="G85" s="364">
        <v>42297</v>
      </c>
      <c r="H85" s="369">
        <v>115</v>
      </c>
      <c r="I85" s="366">
        <v>61.23</v>
      </c>
      <c r="J85" s="366">
        <v>0.13</v>
      </c>
      <c r="K85" s="385">
        <f t="shared" si="7"/>
        <v>7041.32</v>
      </c>
      <c r="L85" s="365"/>
      <c r="M85" s="366"/>
    </row>
    <row r="86" spans="1:13" x14ac:dyDescent="0.25">
      <c r="A86" s="365"/>
      <c r="B86" s="383">
        <v>42226</v>
      </c>
      <c r="C86" s="386">
        <v>5</v>
      </c>
      <c r="D86" s="370">
        <v>56.2</v>
      </c>
      <c r="E86" s="366">
        <v>0</v>
      </c>
      <c r="F86" s="366">
        <f t="shared" si="6"/>
        <v>281</v>
      </c>
      <c r="G86" s="364">
        <v>42304</v>
      </c>
      <c r="H86" s="369">
        <v>80</v>
      </c>
      <c r="I86" s="366">
        <v>59.76</v>
      </c>
      <c r="J86" s="366">
        <v>0.09</v>
      </c>
      <c r="K86" s="385">
        <f t="shared" si="7"/>
        <v>4780.71</v>
      </c>
      <c r="L86" s="365"/>
      <c r="M86" s="366"/>
    </row>
    <row r="87" spans="1:13" x14ac:dyDescent="0.25">
      <c r="A87" s="365"/>
      <c r="B87" s="383">
        <v>42226</v>
      </c>
      <c r="C87" s="365">
        <v>15</v>
      </c>
      <c r="D87" s="370">
        <v>56.5</v>
      </c>
      <c r="E87" s="366">
        <v>0</v>
      </c>
      <c r="F87" s="366">
        <f t="shared" si="6"/>
        <v>847.5</v>
      </c>
      <c r="G87" s="364">
        <v>42314</v>
      </c>
      <c r="H87" s="369">
        <v>10</v>
      </c>
      <c r="I87" s="366">
        <v>59.65</v>
      </c>
      <c r="J87" s="366">
        <v>0.01</v>
      </c>
      <c r="K87" s="385">
        <f t="shared" si="7"/>
        <v>596.49</v>
      </c>
      <c r="L87" s="365"/>
      <c r="M87" s="366"/>
    </row>
    <row r="88" spans="1:13" x14ac:dyDescent="0.25">
      <c r="A88" s="365"/>
      <c r="B88" s="383">
        <v>42240</v>
      </c>
      <c r="C88" s="386">
        <v>15</v>
      </c>
      <c r="D88" s="370">
        <v>57.19</v>
      </c>
      <c r="E88" s="366">
        <v>0</v>
      </c>
      <c r="F88" s="366">
        <f t="shared" si="6"/>
        <v>857.84999999999991</v>
      </c>
      <c r="G88" s="364">
        <v>42338</v>
      </c>
      <c r="H88" s="369">
        <v>75</v>
      </c>
      <c r="I88" s="366">
        <v>61.49</v>
      </c>
      <c r="J88" s="366">
        <v>0.08</v>
      </c>
      <c r="K88" s="366">
        <f t="shared" si="7"/>
        <v>4611.67</v>
      </c>
      <c r="L88" s="365"/>
      <c r="M88" s="366"/>
    </row>
    <row r="89" spans="1:13" x14ac:dyDescent="0.25">
      <c r="A89" s="365"/>
      <c r="B89" s="383">
        <v>42240</v>
      </c>
      <c r="C89" s="365">
        <v>20</v>
      </c>
      <c r="D89" s="370">
        <v>56.6</v>
      </c>
      <c r="E89" s="366">
        <v>0</v>
      </c>
      <c r="F89" s="366">
        <f t="shared" si="6"/>
        <v>1132</v>
      </c>
      <c r="G89" s="364">
        <v>42354</v>
      </c>
      <c r="H89" s="369">
        <v>100</v>
      </c>
      <c r="I89" s="366">
        <v>50.1</v>
      </c>
      <c r="J89" s="366">
        <v>0.09</v>
      </c>
      <c r="K89" s="366">
        <f t="shared" si="7"/>
        <v>5009.91</v>
      </c>
      <c r="L89" s="365"/>
      <c r="M89" s="366"/>
    </row>
    <row r="90" spans="1:13" x14ac:dyDescent="0.25">
      <c r="A90" s="365"/>
      <c r="B90" s="383">
        <v>42240</v>
      </c>
      <c r="C90" s="365">
        <v>30</v>
      </c>
      <c r="D90" s="370">
        <v>56.5</v>
      </c>
      <c r="E90" s="366">
        <v>0</v>
      </c>
      <c r="F90" s="366">
        <f t="shared" si="6"/>
        <v>1695</v>
      </c>
      <c r="G90" s="364">
        <v>42354</v>
      </c>
      <c r="H90" s="369">
        <v>200</v>
      </c>
      <c r="I90" s="366">
        <v>50.15</v>
      </c>
      <c r="J90" s="366">
        <v>0.18</v>
      </c>
      <c r="K90" s="366">
        <f t="shared" si="7"/>
        <v>10029.82</v>
      </c>
      <c r="L90" s="365"/>
      <c r="M90" s="366"/>
    </row>
    <row r="91" spans="1:13" ht="15" customHeight="1" x14ac:dyDescent="0.25">
      <c r="A91" s="365"/>
      <c r="B91" s="390">
        <v>42258</v>
      </c>
      <c r="C91" s="365">
        <v>80</v>
      </c>
      <c r="D91" s="370">
        <v>55.45</v>
      </c>
      <c r="E91" s="366">
        <v>0</v>
      </c>
      <c r="F91" s="366">
        <f t="shared" si="6"/>
        <v>4436</v>
      </c>
      <c r="G91" s="364">
        <v>42354</v>
      </c>
      <c r="H91" s="369">
        <v>100</v>
      </c>
      <c r="I91" s="366">
        <v>50.15</v>
      </c>
      <c r="J91" s="366">
        <v>0.09</v>
      </c>
      <c r="K91" s="366">
        <f t="shared" si="7"/>
        <v>5014.91</v>
      </c>
      <c r="L91" s="365"/>
      <c r="M91" s="366"/>
    </row>
    <row r="92" spans="1:13" x14ac:dyDescent="0.25">
      <c r="A92" s="365"/>
      <c r="B92" s="390"/>
      <c r="C92" s="365">
        <v>20</v>
      </c>
      <c r="D92" s="370">
        <v>55.45</v>
      </c>
      <c r="E92" s="366">
        <v>0</v>
      </c>
      <c r="F92" s="366">
        <f t="shared" si="6"/>
        <v>1109</v>
      </c>
      <c r="G92" s="364">
        <v>42367</v>
      </c>
      <c r="H92" s="369">
        <v>400</v>
      </c>
      <c r="I92" s="366">
        <v>49.86</v>
      </c>
      <c r="J92" s="366">
        <v>0.37</v>
      </c>
      <c r="K92" s="366">
        <f t="shared" si="7"/>
        <v>19943.63</v>
      </c>
      <c r="L92" s="365"/>
      <c r="M92" s="366"/>
    </row>
    <row r="93" spans="1:13" x14ac:dyDescent="0.25">
      <c r="A93" s="365"/>
      <c r="B93" s="391">
        <v>42263</v>
      </c>
      <c r="C93" s="365">
        <v>50</v>
      </c>
      <c r="D93" s="370">
        <v>52.7</v>
      </c>
      <c r="E93" s="366">
        <v>0</v>
      </c>
      <c r="F93" s="366">
        <f t="shared" si="6"/>
        <v>2635</v>
      </c>
      <c r="G93" s="364">
        <v>42375</v>
      </c>
      <c r="H93" s="369">
        <v>100</v>
      </c>
      <c r="I93" s="366">
        <v>47.56</v>
      </c>
      <c r="J93" s="366">
        <v>0.09</v>
      </c>
      <c r="K93" s="366">
        <f t="shared" si="7"/>
        <v>4755.91</v>
      </c>
      <c r="L93" s="365"/>
      <c r="M93" s="365"/>
    </row>
    <row r="94" spans="1:13" x14ac:dyDescent="0.25">
      <c r="A94" s="365"/>
      <c r="B94" s="391"/>
      <c r="C94" s="365">
        <v>30</v>
      </c>
      <c r="D94" s="370">
        <v>52.7</v>
      </c>
      <c r="E94" s="366">
        <v>0</v>
      </c>
      <c r="F94" s="366">
        <f t="shared" si="6"/>
        <v>1581</v>
      </c>
      <c r="G94" s="364">
        <v>42398</v>
      </c>
      <c r="H94" s="369">
        <v>150</v>
      </c>
      <c r="I94" s="366">
        <v>40.880000000000003</v>
      </c>
      <c r="J94" s="366">
        <v>0.11</v>
      </c>
      <c r="K94" s="366">
        <f t="shared" si="7"/>
        <v>6131.89</v>
      </c>
      <c r="L94" s="365"/>
      <c r="M94" s="365"/>
    </row>
    <row r="95" spans="1:13" x14ac:dyDescent="0.25">
      <c r="A95" s="365"/>
      <c r="B95" s="383">
        <v>42263</v>
      </c>
      <c r="C95" s="365">
        <v>50</v>
      </c>
      <c r="D95" s="370">
        <v>52.05</v>
      </c>
      <c r="E95" s="366">
        <v>0</v>
      </c>
      <c r="F95" s="366">
        <f t="shared" si="6"/>
        <v>2602.5</v>
      </c>
      <c r="G95" s="364">
        <v>42405</v>
      </c>
      <c r="H95" s="369">
        <v>100</v>
      </c>
      <c r="I95" s="366">
        <v>38.445</v>
      </c>
      <c r="J95" s="366">
        <v>7.0000000000000007E-2</v>
      </c>
      <c r="K95" s="366">
        <f t="shared" si="7"/>
        <v>3844.43</v>
      </c>
      <c r="L95" s="365"/>
      <c r="M95" s="365"/>
    </row>
    <row r="96" spans="1:13" x14ac:dyDescent="0.25">
      <c r="A96" s="365"/>
      <c r="B96" s="391">
        <v>42270</v>
      </c>
      <c r="C96" s="365">
        <v>30</v>
      </c>
      <c r="D96" s="370">
        <v>52.5</v>
      </c>
      <c r="E96" s="366">
        <v>0</v>
      </c>
      <c r="F96" s="366">
        <f t="shared" si="6"/>
        <v>1575</v>
      </c>
      <c r="G96" s="364">
        <v>42426</v>
      </c>
      <c r="H96" s="369">
        <v>150</v>
      </c>
      <c r="I96" s="366">
        <v>43.25</v>
      </c>
      <c r="J96" s="366">
        <v>0.14000000000000001</v>
      </c>
      <c r="K96" s="366">
        <f t="shared" si="7"/>
        <v>6487.36</v>
      </c>
      <c r="L96" s="365"/>
      <c r="M96" s="365"/>
    </row>
    <row r="97" spans="1:13" x14ac:dyDescent="0.25">
      <c r="A97" s="365"/>
      <c r="B97" s="391"/>
      <c r="C97" s="365">
        <v>20</v>
      </c>
      <c r="D97" s="370">
        <v>52.5</v>
      </c>
      <c r="E97" s="366">
        <v>0</v>
      </c>
      <c r="F97" s="366">
        <f t="shared" si="6"/>
        <v>1050</v>
      </c>
      <c r="G97" s="364">
        <v>42426</v>
      </c>
      <c r="H97" s="369">
        <v>150</v>
      </c>
      <c r="I97" s="366">
        <v>43.4</v>
      </c>
      <c r="J97" s="366">
        <v>0.14000000000000001</v>
      </c>
      <c r="K97" s="366">
        <f t="shared" si="7"/>
        <v>6509.86</v>
      </c>
      <c r="L97" s="365"/>
      <c r="M97" s="365"/>
    </row>
    <row r="98" spans="1:13" x14ac:dyDescent="0.25">
      <c r="A98" s="365"/>
      <c r="B98" s="383">
        <v>42292</v>
      </c>
      <c r="C98" s="365">
        <v>80</v>
      </c>
      <c r="D98" s="370">
        <v>61.25</v>
      </c>
      <c r="E98" s="366">
        <v>0</v>
      </c>
      <c r="F98" s="366">
        <f t="shared" si="6"/>
        <v>4900</v>
      </c>
      <c r="G98" s="364">
        <v>42431</v>
      </c>
      <c r="H98" s="369">
        <v>150</v>
      </c>
      <c r="I98" s="366">
        <v>45.95</v>
      </c>
      <c r="J98" s="366">
        <v>0.15</v>
      </c>
      <c r="K98" s="366">
        <f t="shared" si="7"/>
        <v>6892.35</v>
      </c>
      <c r="L98" s="365"/>
      <c r="M98" s="365"/>
    </row>
    <row r="99" spans="1:13" x14ac:dyDescent="0.25">
      <c r="A99" s="365"/>
      <c r="B99" s="383">
        <v>42292</v>
      </c>
      <c r="C99" s="365">
        <v>80</v>
      </c>
      <c r="D99" s="370">
        <v>59.75</v>
      </c>
      <c r="E99" s="366">
        <v>0</v>
      </c>
      <c r="F99" s="366">
        <f t="shared" si="6"/>
        <v>4780</v>
      </c>
      <c r="G99" s="364">
        <v>42431</v>
      </c>
      <c r="H99" s="369">
        <v>150</v>
      </c>
      <c r="I99" s="366">
        <v>45.5</v>
      </c>
      <c r="J99" s="366">
        <v>0.15</v>
      </c>
      <c r="K99" s="366">
        <f t="shared" si="7"/>
        <v>6824.85</v>
      </c>
      <c r="L99" s="365"/>
      <c r="M99" s="365"/>
    </row>
    <row r="100" spans="1:13" x14ac:dyDescent="0.25">
      <c r="A100" s="365"/>
      <c r="B100" s="383">
        <v>42310</v>
      </c>
      <c r="C100" s="365">
        <v>80</v>
      </c>
      <c r="D100" s="370">
        <v>55.225000000000001</v>
      </c>
      <c r="E100" s="366">
        <v>6.95</v>
      </c>
      <c r="F100" s="366">
        <f t="shared" si="6"/>
        <v>4424.95</v>
      </c>
      <c r="G100" s="364">
        <v>42431</v>
      </c>
      <c r="H100" s="369">
        <v>150</v>
      </c>
      <c r="I100" s="366">
        <v>46.4</v>
      </c>
      <c r="J100" s="366">
        <v>0.15</v>
      </c>
      <c r="K100" s="366">
        <f t="shared" si="7"/>
        <v>6959.85</v>
      </c>
      <c r="L100" s="365"/>
      <c r="M100" s="365"/>
    </row>
    <row r="101" spans="1:13" x14ac:dyDescent="0.25">
      <c r="A101" s="365"/>
      <c r="B101" s="383">
        <v>42310</v>
      </c>
      <c r="C101" s="365">
        <v>40</v>
      </c>
      <c r="D101" s="370">
        <v>53.01</v>
      </c>
      <c r="E101" s="366">
        <v>6.95</v>
      </c>
      <c r="F101" s="366">
        <f t="shared" si="6"/>
        <v>2127.35</v>
      </c>
      <c r="G101" s="364">
        <v>42431</v>
      </c>
      <c r="H101" s="369">
        <v>150</v>
      </c>
      <c r="I101" s="366">
        <v>46.72</v>
      </c>
      <c r="J101" s="366">
        <v>0.15</v>
      </c>
      <c r="K101" s="366">
        <f t="shared" si="7"/>
        <v>7007.85</v>
      </c>
      <c r="L101" s="365"/>
      <c r="M101" s="365"/>
    </row>
    <row r="102" spans="1:13" x14ac:dyDescent="0.25">
      <c r="A102" s="365"/>
      <c r="B102" s="383">
        <v>42340</v>
      </c>
      <c r="C102" s="365">
        <v>40</v>
      </c>
      <c r="D102" s="370">
        <v>58.6</v>
      </c>
      <c r="E102" s="366">
        <v>0</v>
      </c>
      <c r="F102" s="366">
        <f t="shared" si="6"/>
        <v>2344</v>
      </c>
      <c r="G102" s="364">
        <v>42433</v>
      </c>
      <c r="H102" s="369">
        <v>50</v>
      </c>
      <c r="I102" s="366">
        <v>50.35</v>
      </c>
      <c r="J102" s="366">
        <v>0.05</v>
      </c>
      <c r="K102" s="366">
        <f t="shared" si="7"/>
        <v>2517.4499999999998</v>
      </c>
      <c r="L102" s="365"/>
      <c r="M102" s="365"/>
    </row>
    <row r="103" spans="1:13" ht="45" x14ac:dyDescent="0.25">
      <c r="A103" s="365"/>
      <c r="B103" s="392" t="s">
        <v>169</v>
      </c>
      <c r="C103" s="365">
        <v>45</v>
      </c>
      <c r="D103" s="370">
        <v>50.45</v>
      </c>
      <c r="E103" s="366">
        <v>0</v>
      </c>
      <c r="F103" s="366">
        <f t="shared" si="6"/>
        <v>2270.25</v>
      </c>
      <c r="G103" s="364">
        <v>42440</v>
      </c>
      <c r="H103" s="369">
        <v>250</v>
      </c>
      <c r="I103" s="366">
        <v>50.24</v>
      </c>
      <c r="J103" s="366">
        <v>0.27</v>
      </c>
      <c r="K103" s="366">
        <f t="shared" si="7"/>
        <v>12559.73</v>
      </c>
      <c r="L103" s="365"/>
      <c r="M103" s="365"/>
    </row>
    <row r="104" spans="1:13" x14ac:dyDescent="0.25">
      <c r="A104" s="365"/>
      <c r="B104" s="392"/>
      <c r="C104" s="365">
        <v>75</v>
      </c>
      <c r="D104" s="370">
        <v>50.42</v>
      </c>
      <c r="E104" s="366">
        <v>0</v>
      </c>
      <c r="F104" s="366">
        <f t="shared" si="6"/>
        <v>3781.5</v>
      </c>
      <c r="G104" s="364">
        <v>42440</v>
      </c>
      <c r="H104" s="369">
        <v>50</v>
      </c>
      <c r="I104" s="366">
        <v>50.73</v>
      </c>
      <c r="J104" s="366">
        <v>0.05</v>
      </c>
      <c r="K104" s="366">
        <f t="shared" si="7"/>
        <v>2536.4499999999998</v>
      </c>
      <c r="L104" s="365"/>
      <c r="M104" s="365"/>
    </row>
    <row r="105" spans="1:13" x14ac:dyDescent="0.25">
      <c r="A105" s="365"/>
      <c r="B105" s="392"/>
      <c r="C105" s="365">
        <v>100</v>
      </c>
      <c r="D105" s="370">
        <v>50.33</v>
      </c>
      <c r="E105" s="366">
        <v>0</v>
      </c>
      <c r="F105" s="366">
        <f t="shared" si="6"/>
        <v>5033</v>
      </c>
      <c r="G105" s="364">
        <v>42440</v>
      </c>
      <c r="H105" s="369">
        <v>50</v>
      </c>
      <c r="I105" s="366">
        <v>51.08</v>
      </c>
      <c r="J105" s="366">
        <v>0.06</v>
      </c>
      <c r="K105" s="366">
        <f t="shared" si="7"/>
        <v>2553.94</v>
      </c>
      <c r="L105" s="365"/>
      <c r="M105" s="365"/>
    </row>
    <row r="106" spans="1:13" x14ac:dyDescent="0.25">
      <c r="A106" s="365"/>
      <c r="B106" s="392"/>
      <c r="C106" s="365">
        <v>100</v>
      </c>
      <c r="D106" s="370">
        <v>50.25</v>
      </c>
      <c r="E106" s="366">
        <v>0</v>
      </c>
      <c r="F106" s="366">
        <f t="shared" si="6"/>
        <v>5025</v>
      </c>
      <c r="G106" s="364">
        <v>42445</v>
      </c>
      <c r="H106" s="369">
        <v>20</v>
      </c>
      <c r="I106" s="366">
        <v>51.59</v>
      </c>
      <c r="J106" s="366">
        <v>0.02</v>
      </c>
      <c r="K106" s="366">
        <f t="shared" si="7"/>
        <v>1031.7800000000002</v>
      </c>
      <c r="L106" s="365"/>
      <c r="M106" s="365"/>
    </row>
    <row r="107" spans="1:13" x14ac:dyDescent="0.25">
      <c r="A107" s="365"/>
      <c r="B107" s="392"/>
      <c r="C107" s="365">
        <v>100</v>
      </c>
      <c r="D107" s="370">
        <v>50.05</v>
      </c>
      <c r="E107" s="366">
        <v>0</v>
      </c>
      <c r="F107" s="366">
        <f t="shared" si="6"/>
        <v>5005</v>
      </c>
      <c r="G107" s="364">
        <v>42446</v>
      </c>
      <c r="H107" s="369">
        <v>80</v>
      </c>
      <c r="I107" s="366">
        <v>53.45</v>
      </c>
      <c r="J107" s="366">
        <v>0.09</v>
      </c>
      <c r="K107" s="366">
        <f t="shared" si="7"/>
        <v>4275.91</v>
      </c>
      <c r="L107" s="365"/>
      <c r="M107" s="365"/>
    </row>
    <row r="108" spans="1:13" x14ac:dyDescent="0.25">
      <c r="A108" s="365"/>
      <c r="B108" s="392"/>
      <c r="C108" s="365">
        <v>100</v>
      </c>
      <c r="D108" s="370">
        <v>49.99</v>
      </c>
      <c r="E108" s="366">
        <v>0</v>
      </c>
      <c r="F108" s="366">
        <f t="shared" si="6"/>
        <v>4999</v>
      </c>
      <c r="G108" s="364">
        <v>42460</v>
      </c>
      <c r="H108" s="369">
        <v>50</v>
      </c>
      <c r="I108" s="366">
        <v>52.74</v>
      </c>
      <c r="J108" s="366">
        <v>0.06</v>
      </c>
      <c r="K108" s="366">
        <f t="shared" si="7"/>
        <v>2636.94</v>
      </c>
      <c r="L108" s="365"/>
      <c r="M108" s="365"/>
    </row>
    <row r="109" spans="1:13" x14ac:dyDescent="0.25">
      <c r="A109" s="365"/>
      <c r="B109" s="392"/>
      <c r="C109" s="365">
        <v>200</v>
      </c>
      <c r="D109" s="370">
        <v>49.69</v>
      </c>
      <c r="E109" s="366">
        <v>0</v>
      </c>
      <c r="F109" s="366">
        <f t="shared" si="6"/>
        <v>9938</v>
      </c>
      <c r="G109" s="364">
        <v>42466</v>
      </c>
      <c r="H109" s="369">
        <v>50</v>
      </c>
      <c r="I109" s="366">
        <v>53.25</v>
      </c>
      <c r="J109" s="366">
        <v>0.06</v>
      </c>
      <c r="K109" s="366">
        <f t="shared" si="7"/>
        <v>2662.44</v>
      </c>
      <c r="L109" s="365"/>
      <c r="M109" s="365"/>
    </row>
    <row r="110" spans="1:13" x14ac:dyDescent="0.25">
      <c r="A110" s="365"/>
      <c r="B110" s="383">
        <v>42362</v>
      </c>
      <c r="C110" s="365">
        <v>300</v>
      </c>
      <c r="D110" s="370">
        <v>48.18</v>
      </c>
      <c r="E110" s="366">
        <v>0</v>
      </c>
      <c r="F110" s="366">
        <f t="shared" si="6"/>
        <v>14454</v>
      </c>
      <c r="G110" s="364">
        <v>42472</v>
      </c>
      <c r="H110" s="369">
        <v>20</v>
      </c>
      <c r="I110" s="366">
        <v>57.11</v>
      </c>
      <c r="J110" s="366">
        <v>-0.03</v>
      </c>
      <c r="K110" s="366">
        <f t="shared" si="7"/>
        <v>1142.23</v>
      </c>
      <c r="L110" s="365"/>
      <c r="M110" s="365"/>
    </row>
    <row r="111" spans="1:13" x14ac:dyDescent="0.25">
      <c r="A111" s="365"/>
      <c r="B111" s="383">
        <v>42362</v>
      </c>
      <c r="C111" s="365">
        <v>300</v>
      </c>
      <c r="D111" s="370">
        <v>47.73</v>
      </c>
      <c r="E111" s="366">
        <v>-0.03</v>
      </c>
      <c r="F111" s="366">
        <f t="shared" si="6"/>
        <v>14318.969999999998</v>
      </c>
      <c r="G111" s="364">
        <v>42478</v>
      </c>
      <c r="H111" s="369">
        <v>20</v>
      </c>
      <c r="I111" s="366">
        <v>58.75</v>
      </c>
      <c r="J111" s="366">
        <v>0.03</v>
      </c>
      <c r="K111" s="366">
        <f t="shared" si="7"/>
        <v>1174.97</v>
      </c>
      <c r="L111" s="365"/>
      <c r="M111" s="365"/>
    </row>
    <row r="112" spans="1:13" x14ac:dyDescent="0.25">
      <c r="A112" s="365"/>
      <c r="B112" s="383">
        <v>42374</v>
      </c>
      <c r="C112" s="365">
        <v>100</v>
      </c>
      <c r="D112" s="370">
        <v>47.13</v>
      </c>
      <c r="E112" s="366">
        <v>0</v>
      </c>
      <c r="F112" s="366">
        <f t="shared" si="6"/>
        <v>4713</v>
      </c>
      <c r="G112" s="364">
        <v>42501</v>
      </c>
      <c r="H112" s="369">
        <v>30</v>
      </c>
      <c r="I112" s="366">
        <v>58.45</v>
      </c>
      <c r="J112" s="366">
        <v>0.04</v>
      </c>
      <c r="K112" s="366">
        <f t="shared" si="7"/>
        <v>1753.46</v>
      </c>
      <c r="L112" s="365"/>
      <c r="M112" s="365"/>
    </row>
    <row r="113" spans="1:13" x14ac:dyDescent="0.25">
      <c r="A113" s="365"/>
      <c r="B113" s="383">
        <v>42375</v>
      </c>
      <c r="C113" s="365">
        <v>100</v>
      </c>
      <c r="D113" s="370">
        <v>46.02</v>
      </c>
      <c r="E113" s="366">
        <v>0</v>
      </c>
      <c r="F113" s="366">
        <f t="shared" si="6"/>
        <v>4602</v>
      </c>
      <c r="G113" s="365"/>
      <c r="H113" s="369"/>
      <c r="I113" s="366"/>
      <c r="J113" s="366"/>
      <c r="K113" s="366"/>
      <c r="L113" s="365"/>
      <c r="M113" s="365"/>
    </row>
    <row r="114" spans="1:13" x14ac:dyDescent="0.25">
      <c r="A114" s="365"/>
      <c r="B114" s="391">
        <v>42375</v>
      </c>
      <c r="C114" s="365">
        <v>30</v>
      </c>
      <c r="D114" s="370">
        <v>45.1</v>
      </c>
      <c r="E114" s="366">
        <v>0</v>
      </c>
      <c r="F114" s="366">
        <f t="shared" si="6"/>
        <v>1353</v>
      </c>
      <c r="G114" s="365"/>
      <c r="H114" s="369"/>
      <c r="I114" s="366"/>
      <c r="J114" s="366"/>
      <c r="K114" s="366"/>
      <c r="L114" s="365"/>
      <c r="M114" s="365"/>
    </row>
    <row r="115" spans="1:13" x14ac:dyDescent="0.25">
      <c r="A115" s="365"/>
      <c r="B115" s="391"/>
      <c r="C115" s="365">
        <v>20</v>
      </c>
      <c r="D115" s="370">
        <v>45.1</v>
      </c>
      <c r="E115" s="366">
        <v>0</v>
      </c>
      <c r="F115" s="366">
        <f t="shared" si="6"/>
        <v>902</v>
      </c>
      <c r="G115" s="365"/>
      <c r="H115" s="369"/>
      <c r="I115" s="366"/>
      <c r="J115" s="366"/>
      <c r="K115" s="366"/>
      <c r="L115" s="365"/>
      <c r="M115" s="365"/>
    </row>
    <row r="116" spans="1:13" x14ac:dyDescent="0.25">
      <c r="A116" s="365"/>
      <c r="B116" s="383">
        <v>42402</v>
      </c>
      <c r="C116" s="365">
        <v>150</v>
      </c>
      <c r="D116" s="370">
        <v>39.450000000000003</v>
      </c>
      <c r="E116" s="366">
        <v>0</v>
      </c>
      <c r="F116" s="366">
        <f t="shared" si="6"/>
        <v>5917.5</v>
      </c>
      <c r="G116" s="365"/>
      <c r="H116" s="369"/>
      <c r="I116" s="366"/>
      <c r="J116" s="366"/>
      <c r="K116" s="366"/>
      <c r="L116" s="365"/>
      <c r="M116" s="365"/>
    </row>
    <row r="117" spans="1:13" x14ac:dyDescent="0.25">
      <c r="A117" s="365"/>
      <c r="B117" s="383">
        <v>42405</v>
      </c>
      <c r="C117" s="365">
        <v>100</v>
      </c>
      <c r="D117" s="370">
        <v>38.385100000000001</v>
      </c>
      <c r="E117" s="366">
        <v>0</v>
      </c>
      <c r="F117" s="366">
        <f t="shared" si="6"/>
        <v>3838.51</v>
      </c>
      <c r="G117" s="365"/>
      <c r="H117" s="369"/>
      <c r="I117" s="366"/>
      <c r="J117" s="366"/>
      <c r="K117" s="366"/>
      <c r="L117" s="365"/>
      <c r="M117" s="365"/>
    </row>
    <row r="118" spans="1:13" x14ac:dyDescent="0.25">
      <c r="A118" s="365"/>
      <c r="B118" s="383">
        <v>42426</v>
      </c>
      <c r="C118" s="365">
        <v>150</v>
      </c>
      <c r="D118" s="370">
        <v>43.09</v>
      </c>
      <c r="E118" s="366">
        <v>0</v>
      </c>
      <c r="F118" s="366">
        <f t="shared" si="6"/>
        <v>6463.5000000000009</v>
      </c>
      <c r="G118" s="365"/>
      <c r="H118" s="369"/>
      <c r="I118" s="366"/>
      <c r="J118" s="366"/>
      <c r="K118" s="366"/>
      <c r="L118" s="365"/>
      <c r="M118" s="365"/>
    </row>
    <row r="119" spans="1:13" x14ac:dyDescent="0.25">
      <c r="A119" s="365"/>
      <c r="B119" s="383">
        <v>42426</v>
      </c>
      <c r="C119" s="365">
        <v>150</v>
      </c>
      <c r="D119" s="370">
        <v>42.89</v>
      </c>
      <c r="E119" s="366">
        <v>0</v>
      </c>
      <c r="F119" s="366">
        <f t="shared" si="6"/>
        <v>6433.5</v>
      </c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365"/>
      <c r="B120" s="383">
        <v>42431</v>
      </c>
      <c r="C120" s="365">
        <v>150</v>
      </c>
      <c r="D120" s="370">
        <v>45.49</v>
      </c>
      <c r="E120" s="366">
        <v>0</v>
      </c>
      <c r="F120" s="366">
        <f t="shared" si="6"/>
        <v>6823.5</v>
      </c>
      <c r="G120" s="365"/>
      <c r="H120" s="369"/>
      <c r="I120" s="366"/>
      <c r="J120" s="366"/>
      <c r="K120" s="366"/>
      <c r="L120" s="365"/>
      <c r="M120" s="365"/>
    </row>
    <row r="121" spans="1:13" x14ac:dyDescent="0.25">
      <c r="A121" s="365"/>
      <c r="B121" s="383">
        <v>42431</v>
      </c>
      <c r="C121" s="365">
        <v>150</v>
      </c>
      <c r="D121" s="370">
        <v>45.07</v>
      </c>
      <c r="E121" s="366">
        <v>0</v>
      </c>
      <c r="F121" s="366">
        <f t="shared" si="6"/>
        <v>6760.5</v>
      </c>
      <c r="G121" s="365"/>
      <c r="H121" s="369"/>
      <c r="I121" s="366"/>
      <c r="J121" s="366"/>
      <c r="K121" s="366"/>
      <c r="L121" s="365"/>
      <c r="M121" s="365"/>
    </row>
    <row r="122" spans="1:13" x14ac:dyDescent="0.25">
      <c r="A122" s="365"/>
      <c r="B122" s="383">
        <v>42433</v>
      </c>
      <c r="C122" s="365">
        <v>50</v>
      </c>
      <c r="D122" s="370">
        <v>49.45</v>
      </c>
      <c r="E122" s="366">
        <v>0</v>
      </c>
      <c r="F122" s="366">
        <f t="shared" si="6"/>
        <v>2472.5</v>
      </c>
      <c r="G122" s="365"/>
      <c r="H122" s="369"/>
      <c r="I122" s="366"/>
      <c r="J122" s="366"/>
      <c r="K122" s="366"/>
      <c r="L122" s="365"/>
      <c r="M122" s="365"/>
    </row>
    <row r="123" spans="1:13" x14ac:dyDescent="0.25">
      <c r="A123" s="365"/>
      <c r="B123" s="383">
        <v>42444</v>
      </c>
      <c r="C123" s="365">
        <v>50</v>
      </c>
      <c r="D123" s="370">
        <v>48.21</v>
      </c>
      <c r="E123" s="366">
        <v>0</v>
      </c>
      <c r="F123" s="366">
        <f t="shared" si="6"/>
        <v>2410.5</v>
      </c>
      <c r="G123" s="365"/>
      <c r="H123" s="369"/>
      <c r="I123" s="366"/>
      <c r="J123" s="366"/>
      <c r="K123" s="366"/>
      <c r="L123" s="365"/>
      <c r="M123" s="365"/>
    </row>
    <row r="124" spans="1:13" x14ac:dyDescent="0.25">
      <c r="A124" s="365"/>
      <c r="B124" s="383">
        <v>42452</v>
      </c>
      <c r="C124" s="365">
        <v>50</v>
      </c>
      <c r="D124" s="370">
        <v>51.6</v>
      </c>
      <c r="E124" s="366">
        <v>0</v>
      </c>
      <c r="F124" s="366">
        <f t="shared" si="6"/>
        <v>2580</v>
      </c>
      <c r="G124" s="365"/>
      <c r="H124" s="369"/>
      <c r="I124" s="366"/>
      <c r="J124" s="366"/>
      <c r="K124" s="366"/>
      <c r="L124" s="365"/>
      <c r="M124" s="365"/>
    </row>
    <row r="125" spans="1:13" x14ac:dyDescent="0.25">
      <c r="A125" s="365"/>
      <c r="B125" s="383">
        <v>42464</v>
      </c>
      <c r="C125" s="365">
        <v>50</v>
      </c>
      <c r="D125" s="370">
        <v>50.62</v>
      </c>
      <c r="E125" s="366">
        <v>0</v>
      </c>
      <c r="F125" s="366">
        <f t="shared" si="6"/>
        <v>2531</v>
      </c>
      <c r="G125" s="365"/>
      <c r="H125" s="369"/>
      <c r="I125" s="366"/>
      <c r="J125" s="366"/>
      <c r="K125" s="366"/>
      <c r="L125" s="365"/>
      <c r="M125" s="365"/>
    </row>
    <row r="126" spans="1:13" x14ac:dyDescent="0.25">
      <c r="A126" s="365"/>
      <c r="B126" s="383">
        <v>42493</v>
      </c>
      <c r="C126" s="365">
        <v>20</v>
      </c>
      <c r="D126" s="370">
        <v>56.5</v>
      </c>
      <c r="E126" s="366">
        <v>0</v>
      </c>
      <c r="F126" s="366">
        <f t="shared" si="6"/>
        <v>1130</v>
      </c>
      <c r="G126" s="365"/>
      <c r="H126" s="369"/>
      <c r="I126" s="366"/>
      <c r="J126" s="366"/>
      <c r="K126" s="366"/>
      <c r="L126" s="365"/>
      <c r="M126" s="365"/>
    </row>
    <row r="127" spans="1:13" x14ac:dyDescent="0.25">
      <c r="A127" s="365"/>
      <c r="B127" s="387"/>
      <c r="C127" s="365"/>
      <c r="D127" s="370"/>
      <c r="E127" s="366"/>
      <c r="F127" s="366"/>
      <c r="G127" s="365"/>
      <c r="H127" s="369"/>
      <c r="I127" s="366"/>
      <c r="J127" s="366"/>
      <c r="K127" s="366"/>
      <c r="L127" s="365"/>
      <c r="M127" s="365"/>
    </row>
    <row r="128" spans="1:13" x14ac:dyDescent="0.25">
      <c r="A128" s="21" t="s">
        <v>81</v>
      </c>
      <c r="B128" s="388"/>
      <c r="C128" s="12">
        <f>SUM(C77:C127)</f>
        <v>3500</v>
      </c>
      <c r="D128" s="38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5"/>
      <c r="B129" s="387"/>
      <c r="C129" s="365"/>
      <c r="D129" s="370"/>
      <c r="E129" s="366"/>
      <c r="F129" s="366"/>
      <c r="G129" s="365"/>
      <c r="H129" s="369"/>
      <c r="I129" s="366"/>
      <c r="J129" s="366"/>
      <c r="K129" s="366"/>
      <c r="L129" s="365"/>
      <c r="M129" s="36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6" priority="17">
      <formula>F38&gt;0</formula>
    </cfRule>
    <cfRule type="expression" dxfId="765" priority="18">
      <formula>F38&lt;0</formula>
    </cfRule>
  </conditionalFormatting>
  <conditionalFormatting sqref="H38:H72">
    <cfRule type="expression" dxfId="764" priority="9">
      <formula>H38&gt;0</formula>
    </cfRule>
    <cfRule type="expression" dxfId="763" priority="10">
      <formula>H38&lt;0</formula>
    </cfRule>
  </conditionalFormatting>
  <conditionalFormatting sqref="F21:F37">
    <cfRule type="expression" dxfId="762" priority="7">
      <formula>F21&gt;0</formula>
    </cfRule>
    <cfRule type="expression" dxfId="761" priority="8">
      <formula>F21&lt;0</formula>
    </cfRule>
  </conditionalFormatting>
  <conditionalFormatting sqref="H21:H37">
    <cfRule type="expression" dxfId="760" priority="5">
      <formula>H21&gt;0</formula>
    </cfRule>
    <cfRule type="expression" dxfId="759" priority="6">
      <formula>H21&lt;0</formula>
    </cfRule>
  </conditionalFormatting>
  <conditionalFormatting sqref="Q8">
    <cfRule type="expression" dxfId="758" priority="1">
      <formula>Q8&gt;0</formula>
    </cfRule>
    <cfRule type="expression" dxfId="757" priority="2">
      <formula>Q8&lt;0</formula>
    </cfRule>
  </conditionalFormatting>
  <conditionalFormatting sqref="Q7">
    <cfRule type="expression" dxfId="756" priority="3">
      <formula>Q7&gt;0</formula>
    </cfRule>
    <cfRule type="expression" dxfId="75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3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7" t="s">
        <v>78</v>
      </c>
      <c r="P46" s="84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619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4" priority="11">
      <formula>F24&gt;0</formula>
    </cfRule>
    <cfRule type="expression" dxfId="753" priority="12">
      <formula>F24&lt;0</formula>
    </cfRule>
  </conditionalFormatting>
  <conditionalFormatting sqref="H27:H30">
    <cfRule type="expression" dxfId="752" priority="9">
      <formula>H27&gt;0</formula>
    </cfRule>
    <cfRule type="expression" dxfId="751" priority="10">
      <formula>H27&lt;0</formula>
    </cfRule>
  </conditionalFormatting>
  <conditionalFormatting sqref="F25">
    <cfRule type="expression" dxfId="750" priority="7">
      <formula>F25&gt;0</formula>
    </cfRule>
    <cfRule type="expression" dxfId="749" priority="8">
      <formula>F25&lt;0</formula>
    </cfRule>
  </conditionalFormatting>
  <conditionalFormatting sqref="H24:H26">
    <cfRule type="expression" dxfId="748" priority="5">
      <formula>H24&gt;0</formula>
    </cfRule>
    <cfRule type="expression" dxfId="747" priority="6">
      <formula>H24&lt;0</formula>
    </cfRule>
  </conditionalFormatting>
  <conditionalFormatting sqref="Q7">
    <cfRule type="expression" dxfId="746" priority="3">
      <formula>Q7&gt;0</formula>
    </cfRule>
    <cfRule type="expression" dxfId="745" priority="4">
      <formula>Q7&lt;0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49.93</v>
      </c>
      <c r="Y2" s="39">
        <v>50.75</v>
      </c>
      <c r="Z2" s="39">
        <v>49.59</v>
      </c>
      <c r="AA2" s="352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2">
        <v>50.04</v>
      </c>
      <c r="Y3" s="39">
        <v>50.15</v>
      </c>
      <c r="Z3" s="39">
        <v>49.32</v>
      </c>
      <c r="AA3" s="352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4">
        <v>1.24E-2</v>
      </c>
      <c r="T4" s="118"/>
      <c r="W4" s="92">
        <v>42828</v>
      </c>
      <c r="X4" s="352">
        <v>50.74</v>
      </c>
      <c r="Y4" s="39">
        <v>50.95</v>
      </c>
      <c r="Z4" s="39">
        <v>50</v>
      </c>
      <c r="AA4" s="352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50.99</v>
      </c>
      <c r="Y5" s="39">
        <v>51.2</v>
      </c>
      <c r="Z5" s="39">
        <v>50.44</v>
      </c>
      <c r="AA5" s="352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50.89</v>
      </c>
      <c r="Y6" s="39">
        <v>51.37</v>
      </c>
      <c r="Z6" s="39">
        <v>50.89</v>
      </c>
      <c r="AA6" s="352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2">
        <v>51.09</v>
      </c>
      <c r="Y7" s="39">
        <v>51.3</v>
      </c>
      <c r="Z7" s="39">
        <v>50.65</v>
      </c>
      <c r="AA7" s="352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51.8</v>
      </c>
      <c r="Y8" s="39">
        <v>52.1</v>
      </c>
      <c r="Z8" s="39">
        <v>51.13</v>
      </c>
      <c r="AA8" s="352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50.15</v>
      </c>
      <c r="Y9" s="39">
        <v>51.17</v>
      </c>
      <c r="Z9" s="39">
        <v>49.92</v>
      </c>
      <c r="AA9" s="352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2">
        <v>51.34</v>
      </c>
      <c r="Y10" s="39">
        <v>51.53</v>
      </c>
      <c r="Z10" s="39">
        <v>50.3</v>
      </c>
      <c r="AA10" s="352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50.98</v>
      </c>
      <c r="Y11" s="39">
        <v>51.67</v>
      </c>
      <c r="Z11" s="39">
        <v>50.88</v>
      </c>
      <c r="AA11" s="352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2">
        <v>50.11</v>
      </c>
      <c r="Y12" s="39">
        <v>51.13</v>
      </c>
      <c r="Z12" s="39">
        <v>49.55</v>
      </c>
      <c r="AA12" s="352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2">
        <v>51.3</v>
      </c>
      <c r="Y13" s="39">
        <v>51.72</v>
      </c>
      <c r="Z13" s="39">
        <v>49.95</v>
      </c>
      <c r="AA13" s="352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51.36</v>
      </c>
      <c r="Y14" s="39">
        <v>51.53</v>
      </c>
      <c r="Z14" s="39">
        <v>50.81</v>
      </c>
      <c r="AA14" s="352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2">
        <v>51.71</v>
      </c>
      <c r="Y15" s="39">
        <v>51.85</v>
      </c>
      <c r="Z15" s="39">
        <v>51.25</v>
      </c>
      <c r="AA15" s="352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2">
        <v>51.35</v>
      </c>
      <c r="Y16" s="39">
        <v>51.45</v>
      </c>
      <c r="Z16" s="39">
        <v>51.06</v>
      </c>
      <c r="AA16" s="352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2">
        <v>51.05</v>
      </c>
      <c r="Y17" s="39">
        <v>51.49</v>
      </c>
      <c r="Z17" s="39">
        <v>50.71</v>
      </c>
      <c r="AA17" s="352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51.21</v>
      </c>
      <c r="Y18" s="39">
        <v>51.23</v>
      </c>
      <c r="Z18" s="39">
        <v>50.4</v>
      </c>
      <c r="AA18" s="352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2">
        <v>51.83</v>
      </c>
      <c r="Y19" s="39">
        <v>51.83</v>
      </c>
      <c r="Z19" s="39">
        <v>51.11</v>
      </c>
      <c r="AA19" s="352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50.23</v>
      </c>
      <c r="Y20" s="39">
        <v>51.22</v>
      </c>
      <c r="Z20" s="39">
        <v>50.07</v>
      </c>
      <c r="AA20" s="352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2">
        <v>49.77</v>
      </c>
      <c r="Y21" s="39">
        <v>50.06</v>
      </c>
      <c r="Z21" s="39">
        <v>49.48</v>
      </c>
      <c r="AA21" s="352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2">
        <v>49.59</v>
      </c>
      <c r="Y22" s="39">
        <v>49.83</v>
      </c>
      <c r="Z22" s="39">
        <v>49.4</v>
      </c>
      <c r="AA22" s="352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2">
        <v>49.56</v>
      </c>
      <c r="Y23" s="39">
        <v>49.76</v>
      </c>
      <c r="Z23" s="39">
        <v>49.05</v>
      </c>
      <c r="AA23" s="352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2">
        <v>49.9</v>
      </c>
      <c r="Y24" s="39">
        <v>50</v>
      </c>
      <c r="Z24" s="39">
        <v>49.16</v>
      </c>
      <c r="AA24" s="352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2">
        <v>51</v>
      </c>
      <c r="Y25" s="39">
        <v>51</v>
      </c>
      <c r="Z25" s="39">
        <v>49.79</v>
      </c>
      <c r="AA25" s="352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2">
        <v>50.79</v>
      </c>
      <c r="Y26" s="39">
        <v>51.25</v>
      </c>
      <c r="Z26" s="39">
        <v>50.63</v>
      </c>
      <c r="AA26" s="352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2">
        <v>51.12</v>
      </c>
      <c r="Y27" s="39">
        <v>51.61</v>
      </c>
      <c r="Z27" s="39">
        <v>50.42</v>
      </c>
      <c r="AA27" s="352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2">
        <v>50.82</v>
      </c>
      <c r="Y28" s="39">
        <v>51.2</v>
      </c>
      <c r="Z28" s="39">
        <v>50.45</v>
      </c>
      <c r="AA28" s="352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2">
        <v>49.93</v>
      </c>
      <c r="Y29" s="39">
        <v>50.83</v>
      </c>
      <c r="Z29" s="39">
        <v>49.57</v>
      </c>
      <c r="AA29" s="352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2">
        <v>50.51</v>
      </c>
      <c r="Y30" s="39">
        <v>50.63</v>
      </c>
      <c r="Z30" s="39">
        <v>49.77</v>
      </c>
      <c r="AA30" s="352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2">
        <v>52.48</v>
      </c>
      <c r="Y31" s="39">
        <v>52.5</v>
      </c>
      <c r="Z31" s="39">
        <v>50.61</v>
      </c>
      <c r="AA31" s="352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2">
        <v>49.24</v>
      </c>
      <c r="Y32" s="39">
        <v>52.14</v>
      </c>
      <c r="Z32" s="39">
        <v>48.68</v>
      </c>
      <c r="AA32" s="352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2">
        <v>47.74</v>
      </c>
      <c r="Y33" s="39">
        <v>48.52</v>
      </c>
      <c r="Z33" s="39">
        <v>47.74</v>
      </c>
      <c r="AA33" s="352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47.62</v>
      </c>
      <c r="Y34" s="39">
        <v>47.85</v>
      </c>
      <c r="Z34" s="39">
        <v>47.27</v>
      </c>
      <c r="AA34" s="352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47.95</v>
      </c>
      <c r="Y35" s="39">
        <v>48.14</v>
      </c>
      <c r="Z35" s="39">
        <v>47.24</v>
      </c>
      <c r="AA35" s="352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2">
        <v>47.66</v>
      </c>
      <c r="Y36" s="39">
        <v>48.12</v>
      </c>
      <c r="Z36" s="39">
        <v>47.01</v>
      </c>
      <c r="AA36" s="352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2">
        <v>47.82</v>
      </c>
      <c r="Y37" s="39">
        <v>47.97</v>
      </c>
      <c r="Z37" s="39">
        <v>47.58</v>
      </c>
      <c r="AA37" s="352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48.02</v>
      </c>
      <c r="Y38" s="39">
        <v>48.1</v>
      </c>
      <c r="Z38" s="39">
        <v>47.56</v>
      </c>
      <c r="AA38" s="352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2">
        <v>48.43</v>
      </c>
      <c r="Y39" s="39">
        <v>48.91</v>
      </c>
      <c r="Z39" s="39">
        <v>47.54</v>
      </c>
      <c r="AA39" s="352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2">
        <v>47.81</v>
      </c>
      <c r="Y40" s="39">
        <v>48.31</v>
      </c>
      <c r="Z40" s="39">
        <v>47.7</v>
      </c>
      <c r="AA40" s="352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2">
        <v>47.88</v>
      </c>
      <c r="Y41" s="39">
        <v>48.14</v>
      </c>
      <c r="Z41" s="39">
        <v>47.51</v>
      </c>
      <c r="AA41" s="352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622</v>
      </c>
      <c r="W42" s="92">
        <v>42773</v>
      </c>
      <c r="X42" s="352">
        <v>47.58</v>
      </c>
      <c r="Y42" s="39">
        <v>48.09</v>
      </c>
      <c r="Z42" s="39">
        <v>47.47</v>
      </c>
      <c r="AA42" s="352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623</v>
      </c>
      <c r="W43" s="92">
        <v>42772</v>
      </c>
      <c r="X43" s="352">
        <v>47.76</v>
      </c>
      <c r="Y43" s="39">
        <v>48.02</v>
      </c>
      <c r="Z43" s="39">
        <v>47.28</v>
      </c>
      <c r="AA43" s="352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2">
        <v>48.13</v>
      </c>
      <c r="Y44" s="39">
        <v>48.36</v>
      </c>
      <c r="Z44" s="39">
        <v>47.41</v>
      </c>
      <c r="AA44" s="352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2">
        <v>48.17</v>
      </c>
      <c r="Y45" s="39">
        <v>48.5</v>
      </c>
      <c r="Z45" s="39">
        <v>47.55</v>
      </c>
      <c r="AA45" s="352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426</v>
      </c>
      <c r="W46" s="92">
        <v>42767</v>
      </c>
      <c r="X46" s="352">
        <v>47.3</v>
      </c>
      <c r="Y46" s="39">
        <v>48.45</v>
      </c>
      <c r="Z46" s="39">
        <v>46.83</v>
      </c>
      <c r="AA46" s="352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2">
        <v>47.88</v>
      </c>
      <c r="Y47" s="39">
        <v>48.11</v>
      </c>
      <c r="Z47" s="39">
        <v>46.83</v>
      </c>
      <c r="AA47" s="352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624</v>
      </c>
      <c r="W48" s="92">
        <v>42765</v>
      </c>
      <c r="X48" s="352">
        <v>48.8</v>
      </c>
      <c r="Y48" s="39">
        <v>48.88</v>
      </c>
      <c r="Z48" s="39">
        <v>47.94</v>
      </c>
      <c r="AA48" s="352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552</v>
      </c>
      <c r="W49" s="92">
        <v>42762</v>
      </c>
      <c r="X49" s="352">
        <v>49.35</v>
      </c>
      <c r="Y49" s="39">
        <v>49.56</v>
      </c>
      <c r="Z49" s="39">
        <v>48.61</v>
      </c>
      <c r="AA49" s="352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2">
        <v>49.22</v>
      </c>
      <c r="Y50" s="39">
        <v>50.05</v>
      </c>
      <c r="Z50" s="39">
        <v>48.77</v>
      </c>
      <c r="AA50" s="352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2">
        <v>47.22</v>
      </c>
      <c r="Y51" s="39">
        <v>48.24</v>
      </c>
      <c r="Z51" s="39">
        <v>46.96</v>
      </c>
      <c r="AA51" s="352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625</v>
      </c>
      <c r="W52" s="92">
        <v>42759</v>
      </c>
      <c r="X52" s="352">
        <v>45.92</v>
      </c>
      <c r="Y52" s="39">
        <v>46.95</v>
      </c>
      <c r="Z52" s="39">
        <v>45.83</v>
      </c>
      <c r="AA52" s="352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2">
        <v>45.47</v>
      </c>
      <c r="Y53" s="39">
        <v>46.15</v>
      </c>
      <c r="Z53" s="39">
        <v>45.15</v>
      </c>
      <c r="AA53" s="352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2">
        <v>45.93</v>
      </c>
      <c r="Y54" s="39">
        <v>46.41</v>
      </c>
      <c r="Z54" s="39">
        <v>45.41</v>
      </c>
      <c r="AA54" s="352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2">
        <v>45.76</v>
      </c>
      <c r="Y55" s="39">
        <v>46.36</v>
      </c>
      <c r="Z55" s="39">
        <v>45.39</v>
      </c>
      <c r="AA55" s="352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2">
        <v>44.97</v>
      </c>
      <c r="Y56" s="39">
        <v>45.77</v>
      </c>
      <c r="Z56" s="39">
        <v>44.56</v>
      </c>
      <c r="AA56" s="352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2">
        <v>45.08</v>
      </c>
      <c r="Y57" s="39">
        <v>45.22</v>
      </c>
      <c r="Z57" s="39">
        <v>44.2</v>
      </c>
      <c r="AA57" s="352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2">
        <v>45.49</v>
      </c>
      <c r="Y58" s="39">
        <v>45.49</v>
      </c>
      <c r="Z58" s="39">
        <v>44.84</v>
      </c>
      <c r="AA58" s="352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2">
        <v>45.47</v>
      </c>
      <c r="Y59" s="39">
        <v>45.83</v>
      </c>
      <c r="Z59" s="39">
        <v>44.67</v>
      </c>
      <c r="AA59" s="352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2">
        <v>45.01</v>
      </c>
      <c r="Y60" s="39">
        <v>45.82</v>
      </c>
      <c r="Z60" s="39">
        <v>44.72</v>
      </c>
      <c r="AA60" s="352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2">
        <v>44.33</v>
      </c>
      <c r="Y61" s="39">
        <v>45.36</v>
      </c>
      <c r="Z61" s="39">
        <v>44.33</v>
      </c>
      <c r="AA61" s="352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2">
        <v>44.14</v>
      </c>
      <c r="Y62" s="39">
        <v>44.7</v>
      </c>
      <c r="Z62" s="39">
        <v>43.9</v>
      </c>
      <c r="AA62" s="352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2">
        <v>44.75</v>
      </c>
      <c r="Y63" s="39">
        <v>44.92</v>
      </c>
      <c r="Z63" s="39">
        <v>44.06</v>
      </c>
      <c r="AA63" s="352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2">
        <v>44.51</v>
      </c>
      <c r="Y64" s="39">
        <v>44.79</v>
      </c>
      <c r="Z64" s="39">
        <v>44.02</v>
      </c>
      <c r="AA64" s="352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2">
        <v>43.1</v>
      </c>
      <c r="Y65" s="39">
        <v>44.89</v>
      </c>
      <c r="Z65" s="39">
        <v>42.78</v>
      </c>
      <c r="AA65" s="352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2">
        <v>43.13</v>
      </c>
      <c r="Y66" s="39">
        <v>43.87</v>
      </c>
      <c r="Z66" s="39">
        <v>42.64</v>
      </c>
      <c r="AA66" s="352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2">
        <v>42.62</v>
      </c>
      <c r="Y67" s="39">
        <v>42.97</v>
      </c>
      <c r="Z67" s="39">
        <v>42.1</v>
      </c>
      <c r="AA67" s="352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2" priority="17">
      <formula>F28&gt;0</formula>
    </cfRule>
    <cfRule type="expression" dxfId="741" priority="18">
      <formula>F28&lt;0</formula>
    </cfRule>
  </conditionalFormatting>
  <conditionalFormatting sqref="F28 F33:F35">
    <cfRule type="expression" dxfId="740" priority="19">
      <formula>F28&gt;0</formula>
    </cfRule>
    <cfRule type="expression" dxfId="739" priority="20">
      <formula>F28&lt;0</formula>
    </cfRule>
  </conditionalFormatting>
  <conditionalFormatting sqref="H28 H33:H35">
    <cfRule type="expression" dxfId="738" priority="15">
      <formula>H28&gt;0</formula>
    </cfRule>
    <cfRule type="expression" dxfId="737" priority="16">
      <formula>H28&lt;0</formula>
    </cfRule>
  </conditionalFormatting>
  <conditionalFormatting sqref="F21:F27">
    <cfRule type="expression" dxfId="736" priority="13">
      <formula>F21&gt;0</formula>
    </cfRule>
    <cfRule type="expression" dxfId="735" priority="14">
      <formula>F21&lt;0</formula>
    </cfRule>
  </conditionalFormatting>
  <conditionalFormatting sqref="H21:H27">
    <cfRule type="expression" dxfId="734" priority="11">
      <formula>H21&gt;0</formula>
    </cfRule>
    <cfRule type="expression" dxfId="733" priority="12">
      <formula>H21&lt;0</formula>
    </cfRule>
  </conditionalFormatting>
  <conditionalFormatting sqref="Q8">
    <cfRule type="expression" dxfId="732" priority="7">
      <formula>Q8&gt;0</formula>
    </cfRule>
    <cfRule type="expression" dxfId="731" priority="8">
      <formula>Q8&lt;0</formula>
    </cfRule>
  </conditionalFormatting>
  <conditionalFormatting sqref="Q7">
    <cfRule type="expression" dxfId="730" priority="9">
      <formula>Q7&gt;0</formula>
    </cfRule>
    <cfRule type="expression" dxfId="729" priority="10">
      <formula>Q7&lt;0</formula>
    </cfRule>
  </conditionalFormatting>
  <conditionalFormatting sqref="F29:F32">
    <cfRule type="expression" dxfId="728" priority="5">
      <formula>F29&gt;0</formula>
    </cfRule>
    <cfRule type="expression" dxfId="727" priority="6">
      <formula>F29&lt;0</formula>
    </cfRule>
  </conditionalFormatting>
  <conditionalFormatting sqref="H29:H32">
    <cfRule type="expression" dxfId="726" priority="3">
      <formula>H29&gt;0</formula>
    </cfRule>
    <cfRule type="expression" dxfId="725" priority="4">
      <formula>H29&lt;0</formula>
    </cfRule>
  </conditionalFormatting>
  <conditionalFormatting sqref="M37">
    <cfRule type="expression" dxfId="724" priority="1">
      <formula>M37&gt;0</formula>
    </cfRule>
    <cfRule type="expression" dxfId="72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7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7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7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7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260.45279999999997</v>
      </c>
      <c r="T3" s="118"/>
      <c r="AD3" s="228"/>
    </row>
    <row r="4" spans="1:30" x14ac:dyDescent="0.25">
      <c r="B4" s="72">
        <v>43136</v>
      </c>
      <c r="C4" s="7">
        <v>10</v>
      </c>
      <c r="D4" s="43">
        <v>261.14999999999998</v>
      </c>
      <c r="E4" s="43">
        <v>0</v>
      </c>
      <c r="F4" s="43">
        <f t="shared" si="0"/>
        <v>2611.5</v>
      </c>
      <c r="G4" s="437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265.1499</v>
      </c>
      <c r="R4" s="478">
        <v>-2.8999999999999998E-3</v>
      </c>
      <c r="T4" s="118"/>
      <c r="AA4" s="228"/>
      <c r="AD4" s="228"/>
    </row>
    <row r="5" spans="1:30" x14ac:dyDescent="0.25">
      <c r="B5" s="437">
        <v>43140</v>
      </c>
      <c r="C5" s="4">
        <v>5</v>
      </c>
      <c r="D5" s="3">
        <v>253.6</v>
      </c>
      <c r="E5" s="3">
        <v>0</v>
      </c>
      <c r="F5" s="3">
        <f>C5*D5+E5</f>
        <v>1268</v>
      </c>
      <c r="G5" s="437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13257.495000000001</v>
      </c>
      <c r="AA5" s="228"/>
      <c r="AD5" s="228"/>
    </row>
    <row r="6" spans="1:30" x14ac:dyDescent="0.25">
      <c r="B6" s="437">
        <v>43140</v>
      </c>
      <c r="C6" s="4">
        <v>20</v>
      </c>
      <c r="D6" s="3">
        <v>253.6</v>
      </c>
      <c r="E6" s="3">
        <v>0</v>
      </c>
      <c r="F6" s="3">
        <f>C6*D6+E6</f>
        <v>5072</v>
      </c>
      <c r="G6" s="4"/>
      <c r="H6" s="179"/>
      <c r="I6" s="3"/>
      <c r="J6" s="3"/>
      <c r="K6" s="3"/>
      <c r="O6" s="11" t="s">
        <v>64</v>
      </c>
      <c r="Q6" s="2">
        <f>Q3*Q2</f>
        <v>13022.639999999998</v>
      </c>
    </row>
    <row r="7" spans="1:30" x14ac:dyDescent="0.25">
      <c r="B7" s="477">
        <v>43181</v>
      </c>
      <c r="C7" s="7">
        <v>10</v>
      </c>
      <c r="D7" s="43">
        <v>262.58</v>
      </c>
      <c r="E7" s="43">
        <v>0</v>
      </c>
      <c r="F7" s="43">
        <f>C7*D7+E7</f>
        <v>2625.7999999999997</v>
      </c>
      <c r="G7" s="4"/>
      <c r="H7" s="4"/>
      <c r="I7" s="3"/>
      <c r="J7" s="3"/>
      <c r="K7" s="3"/>
      <c r="O7" s="11" t="s">
        <v>178</v>
      </c>
      <c r="P7"/>
      <c r="Q7" s="790">
        <f>Q10+Q8</f>
        <v>395.68500000000131</v>
      </c>
      <c r="R7">
        <v>10</v>
      </c>
      <c r="T7" s="83"/>
      <c r="AA7" s="228"/>
      <c r="AD7" s="228"/>
    </row>
    <row r="8" spans="1:30" x14ac:dyDescent="0.25">
      <c r="B8" s="477">
        <v>43192</v>
      </c>
      <c r="C8" s="7">
        <v>15</v>
      </c>
      <c r="D8" s="43">
        <v>255.38</v>
      </c>
      <c r="E8" s="43">
        <v>0</v>
      </c>
      <c r="F8" s="43">
        <f>C8*D8+E8</f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234.85500000000138</v>
      </c>
    </row>
    <row r="9" spans="1:30" x14ac:dyDescent="0.25">
      <c r="B9" s="477">
        <v>43196</v>
      </c>
      <c r="C9" s="7">
        <v>15</v>
      </c>
      <c r="D9" s="43">
        <v>259.58</v>
      </c>
      <c r="E9" s="43">
        <v>0</v>
      </c>
      <c r="F9" s="43">
        <f>C9*D9+E9</f>
        <v>3893.7</v>
      </c>
      <c r="O9" s="11" t="s">
        <v>210</v>
      </c>
      <c r="P9"/>
      <c r="Q9" s="134">
        <f>IF(Q2=0, 0, Q8/Q6)</f>
        <v>1.8034361696246032E-2</v>
      </c>
      <c r="AA9" s="228"/>
      <c r="AD9" s="228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997</v>
      </c>
      <c r="Q13">
        <v>17</v>
      </c>
      <c r="R13" s="22" t="s">
        <v>1003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7" t="s">
        <v>78</v>
      </c>
      <c r="Q17" s="847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SUM(C2:C9)</f>
        <v>115</v>
      </c>
      <c r="D18" s="14"/>
      <c r="E18" s="14"/>
      <c r="F18" s="18">
        <f>SUM(F2:F9)</f>
        <v>30173.45</v>
      </c>
      <c r="G18" s="18"/>
      <c r="H18" s="71">
        <f>SUM(H2:H6)</f>
        <v>65</v>
      </c>
      <c r="I18" s="18"/>
      <c r="J18" s="18"/>
      <c r="K18" s="18">
        <f>SUM(K2:K6)</f>
        <v>17150.810000000001</v>
      </c>
      <c r="L18" s="18"/>
      <c r="M18" s="18">
        <f>SUM(M2:M6)</f>
        <v>0</v>
      </c>
      <c r="P18" s="81">
        <v>1.1000000000000001</v>
      </c>
      <c r="Q18" s="81">
        <f>P18*$Q$4</f>
        <v>291.66489000000001</v>
      </c>
      <c r="R18" s="81"/>
    </row>
    <row r="19" spans="1:30" x14ac:dyDescent="0.25">
      <c r="P19" s="81">
        <v>1.0900000000000001</v>
      </c>
      <c r="Q19" s="81">
        <f t="shared" ref="Q19:Q38" si="1">P19*$Q$4</f>
        <v>289.01339100000001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1"/>
        <v>286.36189200000001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2">C21*(E21-D21)</f>
        <v>-68.250000000000455</v>
      </c>
      <c r="G21" s="39">
        <f t="shared" ref="G21:G26" si="3">D21*C21</f>
        <v>6954.5</v>
      </c>
      <c r="H21" s="225">
        <f t="shared" ref="H21:H26" si="4">(E21-D21)/D21</f>
        <v>-9.8137896326120425E-3</v>
      </c>
      <c r="I21" s="39"/>
      <c r="J21" s="39"/>
      <c r="K21" s="39"/>
      <c r="P21" s="81">
        <v>1.07</v>
      </c>
      <c r="Q21" s="81">
        <f t="shared" si="1"/>
        <v>283.71039300000001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2"/>
        <v>-286.75000000000068</v>
      </c>
      <c r="G22" s="39">
        <f t="shared" si="3"/>
        <v>13483.250000000002</v>
      </c>
      <c r="H22" s="225">
        <f t="shared" si="4"/>
        <v>-2.1267127732557109E-2</v>
      </c>
      <c r="I22" s="39"/>
      <c r="J22" s="39"/>
      <c r="K22" s="39"/>
      <c r="P22" s="81">
        <v>1.06</v>
      </c>
      <c r="Q22" s="81">
        <f t="shared" si="1"/>
        <v>281.05889400000001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2"/>
        <v>-210.90000000000089</v>
      </c>
      <c r="G23" s="39">
        <f t="shared" si="3"/>
        <v>19823.400000000001</v>
      </c>
      <c r="H23" s="225">
        <f t="shared" si="4"/>
        <v>-1.0638941856593767E-2</v>
      </c>
      <c r="I23" s="39"/>
      <c r="J23" s="39"/>
      <c r="K23" s="39"/>
      <c r="P23" s="81">
        <v>1.05</v>
      </c>
      <c r="Q23" s="81">
        <f t="shared" si="1"/>
        <v>278.40739500000001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2"/>
        <v>-180.89999999999975</v>
      </c>
      <c r="G24" s="39">
        <f t="shared" si="3"/>
        <v>13255.9</v>
      </c>
      <c r="H24" s="225">
        <f t="shared" si="4"/>
        <v>-1.3646753521073616E-2</v>
      </c>
      <c r="I24" s="39"/>
      <c r="J24" s="39"/>
      <c r="K24" s="39"/>
      <c r="P24" s="81">
        <v>1.04</v>
      </c>
      <c r="Q24" s="81">
        <f t="shared" si="1"/>
        <v>275.75589600000001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2"/>
        <v>268.6000000000007</v>
      </c>
      <c r="G25" s="39">
        <f t="shared" si="3"/>
        <v>13255.9</v>
      </c>
      <c r="H25" s="225">
        <f t="shared" si="4"/>
        <v>2.0262675487896009E-2</v>
      </c>
      <c r="I25" s="39"/>
      <c r="J25" s="39"/>
      <c r="K25" s="39"/>
      <c r="P25" s="81">
        <v>1.03</v>
      </c>
      <c r="Q25" s="81">
        <f t="shared" si="1"/>
        <v>273.10439700000001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2"/>
        <v>-61.499999999998636</v>
      </c>
      <c r="G26" s="39">
        <f t="shared" si="3"/>
        <v>15881.699999999999</v>
      </c>
      <c r="H26" s="225">
        <f t="shared" si="4"/>
        <v>-3.8723814201249637E-3</v>
      </c>
      <c r="I26" s="39"/>
      <c r="J26" s="39"/>
      <c r="K26" s="39"/>
      <c r="P26" s="81">
        <v>1.02</v>
      </c>
      <c r="Q26" s="81">
        <f t="shared" si="1"/>
        <v>270.452898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2" si="5">C27*(E27-D27)</f>
        <v>-245.69999999999823</v>
      </c>
      <c r="G27" s="39">
        <f t="shared" ref="G27:G32" si="6">D27*C27</f>
        <v>15881.699999999999</v>
      </c>
      <c r="H27" s="225">
        <f t="shared" ref="H27:H32" si="7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1"/>
        <v>267.801399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5"/>
        <v>-402.14999999999748</v>
      </c>
      <c r="G28" s="39">
        <f t="shared" si="6"/>
        <v>19712.399999999998</v>
      </c>
      <c r="H28" s="225">
        <f t="shared" si="7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1"/>
        <v>265.1499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5"/>
        <v>63.779999999999291</v>
      </c>
      <c r="G29" s="39">
        <f t="shared" si="6"/>
        <v>15749.820000000002</v>
      </c>
      <c r="H29" s="225">
        <f t="shared" si="7"/>
        <v>4.0495700903247969E-3</v>
      </c>
      <c r="I29" s="39"/>
      <c r="J29" s="39">
        <v>225</v>
      </c>
      <c r="K29" s="39"/>
      <c r="P29" s="81">
        <v>0.99</v>
      </c>
      <c r="Q29" s="81">
        <f t="shared" si="1"/>
        <v>262.498401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5"/>
        <v>-174.97500000000201</v>
      </c>
      <c r="G30" s="39">
        <f t="shared" si="6"/>
        <v>19643.475000000002</v>
      </c>
      <c r="H30" s="225">
        <f t="shared" si="7"/>
        <v>-8.9075379992593975E-3</v>
      </c>
      <c r="I30" s="39"/>
      <c r="J30" s="39"/>
      <c r="K30" s="39"/>
      <c r="P30" s="81">
        <v>0.98</v>
      </c>
      <c r="Q30" s="81">
        <f t="shared" si="1"/>
        <v>259.846902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5"/>
        <v>-19.379999999998745</v>
      </c>
      <c r="G31" s="39">
        <f t="shared" si="6"/>
        <v>15679.38</v>
      </c>
      <c r="H31" s="225">
        <f t="shared" si="7"/>
        <v>-1.2360182609260535E-3</v>
      </c>
      <c r="I31" s="39"/>
      <c r="J31" s="39">
        <v>141</v>
      </c>
      <c r="K31" s="39"/>
      <c r="P31" s="81">
        <v>0.97</v>
      </c>
      <c r="Q31" s="81">
        <f t="shared" si="1"/>
        <v>257.195403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5"/>
        <v>234.85000000000014</v>
      </c>
      <c r="G32" s="39">
        <f t="shared" si="6"/>
        <v>13022.649999999998</v>
      </c>
      <c r="H32" s="225">
        <f t="shared" si="7"/>
        <v>1.8033963901356496E-2</v>
      </c>
      <c r="I32" s="39"/>
      <c r="J32" s="39">
        <v>396</v>
      </c>
      <c r="K32" s="39"/>
      <c r="P32" s="81">
        <v>0.96</v>
      </c>
      <c r="Q32" s="81">
        <f t="shared" si="1"/>
        <v>254.543904</v>
      </c>
      <c r="R32" s="81"/>
    </row>
    <row r="33" spans="1:18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P33" s="81">
        <v>0.95</v>
      </c>
      <c r="Q33" s="81">
        <f t="shared" si="1"/>
        <v>251.892405</v>
      </c>
      <c r="R33" s="81"/>
    </row>
    <row r="34" spans="1:18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P34" s="81">
        <v>0.94</v>
      </c>
      <c r="Q34" s="81">
        <f t="shared" si="1"/>
        <v>249.240906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1"/>
        <v>246.58940700000002</v>
      </c>
      <c r="R35" s="81"/>
    </row>
    <row r="36" spans="1:18" x14ac:dyDescent="0.25">
      <c r="P36" s="81">
        <v>0.92</v>
      </c>
      <c r="Q36" s="81">
        <f t="shared" si="1"/>
        <v>243.93790800000002</v>
      </c>
    </row>
    <row r="37" spans="1:18" x14ac:dyDescent="0.25">
      <c r="L37" t="s">
        <v>209</v>
      </c>
      <c r="M37" s="2">
        <f>M55+K55-F55</f>
        <v>160.82999999999993</v>
      </c>
      <c r="P37" s="81">
        <v>0.91</v>
      </c>
      <c r="Q37" s="81">
        <f t="shared" si="1"/>
        <v>241.28640900000002</v>
      </c>
    </row>
    <row r="38" spans="1:18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P38" s="81">
        <v>0.9</v>
      </c>
      <c r="Q38" s="81">
        <f t="shared" si="1"/>
        <v>238.63491000000002</v>
      </c>
    </row>
    <row r="39" spans="1:18" x14ac:dyDescent="0.25">
      <c r="A39" s="257" t="s">
        <v>175</v>
      </c>
      <c r="B39" s="258">
        <v>42377</v>
      </c>
      <c r="C39" s="253">
        <v>20</v>
      </c>
      <c r="D39" s="254">
        <v>192.9</v>
      </c>
      <c r="E39" s="254">
        <v>0</v>
      </c>
      <c r="F39" s="254">
        <f>C39*D39+E39</f>
        <v>3858</v>
      </c>
      <c r="G39" s="258">
        <v>42398</v>
      </c>
      <c r="H39" s="259">
        <v>20</v>
      </c>
      <c r="I39" s="254">
        <v>192.22</v>
      </c>
      <c r="J39" s="254">
        <v>7.0000000000000007E-2</v>
      </c>
      <c r="K39" s="254">
        <f>H39*I39-J39</f>
        <v>3844.33</v>
      </c>
      <c r="L39" s="258"/>
      <c r="M39" s="254"/>
      <c r="O39" s="11"/>
    </row>
    <row r="40" spans="1:18" x14ac:dyDescent="0.25">
      <c r="A40" s="260" t="s">
        <v>71</v>
      </c>
      <c r="B40" s="258">
        <v>42384</v>
      </c>
      <c r="C40" s="253">
        <v>5</v>
      </c>
      <c r="D40" s="254">
        <v>186.79</v>
      </c>
      <c r="E40" s="254">
        <v>0</v>
      </c>
      <c r="F40" s="254">
        <f>C40*D40+E40</f>
        <v>933.94999999999993</v>
      </c>
      <c r="G40" s="258">
        <v>42416</v>
      </c>
      <c r="H40" s="259">
        <v>10</v>
      </c>
      <c r="I40" s="254">
        <v>189.25</v>
      </c>
      <c r="J40" s="254">
        <v>0.04</v>
      </c>
      <c r="K40" s="254">
        <f>H40*I40-J40</f>
        <v>1892.46</v>
      </c>
      <c r="L40" s="253"/>
      <c r="M40" s="253"/>
      <c r="O40" s="2"/>
    </row>
    <row r="41" spans="1:18" x14ac:dyDescent="0.25">
      <c r="A41" s="253"/>
      <c r="B41" s="258">
        <v>42405</v>
      </c>
      <c r="C41" s="253">
        <v>15</v>
      </c>
      <c r="D41" s="254">
        <v>187.8</v>
      </c>
      <c r="E41" s="254">
        <v>0</v>
      </c>
      <c r="F41" s="254">
        <f>C41*D41+E41</f>
        <v>2817</v>
      </c>
      <c r="G41" s="258">
        <v>42424</v>
      </c>
      <c r="H41" s="259">
        <v>10</v>
      </c>
      <c r="I41" s="254">
        <v>194.3</v>
      </c>
      <c r="J41" s="254">
        <v>0.04</v>
      </c>
      <c r="K41" s="254">
        <f>H41*I41-J41</f>
        <v>1942.96</v>
      </c>
      <c r="L41" s="253"/>
      <c r="M41" s="253"/>
      <c r="O41" s="2"/>
    </row>
    <row r="42" spans="1:18" x14ac:dyDescent="0.25">
      <c r="A42" s="253"/>
      <c r="B42" s="258">
        <v>42408</v>
      </c>
      <c r="C42" s="253">
        <v>5</v>
      </c>
      <c r="D42" s="254">
        <v>183.55</v>
      </c>
      <c r="E42" s="254">
        <v>0</v>
      </c>
      <c r="F42" s="254">
        <f>C42*D42+E42</f>
        <v>917.75</v>
      </c>
      <c r="G42" s="258">
        <v>42440</v>
      </c>
      <c r="H42" s="259">
        <v>5</v>
      </c>
      <c r="I42" s="254">
        <v>201.56</v>
      </c>
      <c r="J42" s="254">
        <v>0.02</v>
      </c>
      <c r="K42" s="254">
        <f>H42*I42-J42</f>
        <v>1007.78</v>
      </c>
      <c r="L42" s="253"/>
      <c r="M42" s="253"/>
      <c r="O42" s="2"/>
    </row>
    <row r="43" spans="1:18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</row>
    <row r="44" spans="1:18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</row>
    <row r="45" spans="1:18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</row>
    <row r="46" spans="1:18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</row>
    <row r="47" spans="1:18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</row>
    <row r="48" spans="1:18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83" t="s">
        <v>113</v>
      </c>
      <c r="C57" s="783" t="s">
        <v>146</v>
      </c>
      <c r="D57" s="784" t="s">
        <v>145</v>
      </c>
      <c r="E57" s="785" t="s">
        <v>147</v>
      </c>
      <c r="F57" s="785" t="s">
        <v>65</v>
      </c>
      <c r="G57" s="786" t="s">
        <v>151</v>
      </c>
      <c r="H57" s="786" t="s">
        <v>88</v>
      </c>
      <c r="I57" s="786" t="s">
        <v>154</v>
      </c>
      <c r="O57" s="2"/>
    </row>
    <row r="58" spans="1:15" x14ac:dyDescent="0.25">
      <c r="B58" s="639">
        <v>42377</v>
      </c>
      <c r="C58" s="638">
        <v>20</v>
      </c>
      <c r="D58" s="640">
        <v>192.9</v>
      </c>
      <c r="E58" s="640">
        <v>191.92</v>
      </c>
      <c r="F58" s="640">
        <f>C58*(E58-D58)</f>
        <v>-19.600000000000364</v>
      </c>
      <c r="G58" s="640">
        <f>D58*C58</f>
        <v>3858</v>
      </c>
      <c r="H58" s="641">
        <f>(E58-D58)/D58</f>
        <v>-5.0803525142561852E-3</v>
      </c>
      <c r="I58" s="640"/>
      <c r="O58" s="2"/>
    </row>
    <row r="59" spans="1:15" x14ac:dyDescent="0.25">
      <c r="B59" s="639">
        <v>42384</v>
      </c>
      <c r="C59" s="638">
        <v>25</v>
      </c>
      <c r="D59" s="640">
        <v>191.678</v>
      </c>
      <c r="E59" s="640">
        <v>187.81</v>
      </c>
      <c r="F59" s="640">
        <f t="shared" ref="F59:F65" si="8">C59*(E59-D59)</f>
        <v>-96.699999999999875</v>
      </c>
      <c r="G59" s="640">
        <f t="shared" ref="G59:G65" si="9">D59*C59</f>
        <v>4791.95</v>
      </c>
      <c r="H59" s="641">
        <f t="shared" ref="H59:H65" si="10">(E59-D59)/D59</f>
        <v>-2.0179676332182071E-2</v>
      </c>
      <c r="I59" s="640"/>
      <c r="O59" s="2"/>
    </row>
    <row r="60" spans="1:15" x14ac:dyDescent="0.25">
      <c r="B60" s="639">
        <v>42398</v>
      </c>
      <c r="C60" s="638">
        <v>5</v>
      </c>
      <c r="D60" s="640">
        <v>189.52</v>
      </c>
      <c r="E60" s="640">
        <v>191.87</v>
      </c>
      <c r="F60" s="640">
        <f t="shared" si="8"/>
        <v>11.749999999999972</v>
      </c>
      <c r="G60" s="640">
        <f t="shared" si="9"/>
        <v>947.6</v>
      </c>
      <c r="H60" s="641">
        <f t="shared" si="10"/>
        <v>1.2399746728577429E-2</v>
      </c>
      <c r="I60" s="640"/>
      <c r="O60" s="2"/>
    </row>
    <row r="61" spans="1:15" x14ac:dyDescent="0.25">
      <c r="B61" s="639">
        <v>42405</v>
      </c>
      <c r="C61" s="638">
        <v>20</v>
      </c>
      <c r="D61" s="640">
        <v>188.23099999999999</v>
      </c>
      <c r="E61" s="640">
        <v>187.8</v>
      </c>
      <c r="F61" s="640">
        <f t="shared" si="8"/>
        <v>-8.6199999999996635</v>
      </c>
      <c r="G61" s="640">
        <f t="shared" si="9"/>
        <v>3764.62</v>
      </c>
      <c r="H61" s="641">
        <f t="shared" si="10"/>
        <v>-2.2897397346876083E-3</v>
      </c>
      <c r="I61" s="640"/>
    </row>
    <row r="62" spans="1:15" x14ac:dyDescent="0.25">
      <c r="B62" s="639">
        <v>42408</v>
      </c>
      <c r="C62" s="638">
        <v>25</v>
      </c>
      <c r="D62" s="640">
        <v>187.29480000000001</v>
      </c>
      <c r="E62" s="640">
        <v>185.42</v>
      </c>
      <c r="F62" s="640">
        <f t="shared" si="8"/>
        <v>-46.870000000000545</v>
      </c>
      <c r="G62" s="640">
        <f t="shared" si="9"/>
        <v>4682.37</v>
      </c>
      <c r="H62" s="641">
        <f t="shared" si="10"/>
        <v>-1.0009888154930204E-2</v>
      </c>
      <c r="I62" s="640"/>
    </row>
    <row r="63" spans="1:15" x14ac:dyDescent="0.25">
      <c r="B63" s="639">
        <v>42416</v>
      </c>
      <c r="C63" s="638">
        <v>15</v>
      </c>
      <c r="D63" s="640">
        <v>185.994</v>
      </c>
      <c r="E63" s="640">
        <v>189.78</v>
      </c>
      <c r="F63" s="640">
        <f t="shared" si="8"/>
        <v>56.79000000000002</v>
      </c>
      <c r="G63" s="640">
        <f t="shared" si="9"/>
        <v>2789.91</v>
      </c>
      <c r="H63" s="641">
        <f t="shared" si="10"/>
        <v>2.0355495338559317E-2</v>
      </c>
      <c r="I63" s="640"/>
    </row>
    <row r="64" spans="1:15" x14ac:dyDescent="0.25">
      <c r="B64" s="639">
        <v>42424</v>
      </c>
      <c r="C64" s="638">
        <v>5</v>
      </c>
      <c r="D64" s="640">
        <v>169.39</v>
      </c>
      <c r="E64" s="640">
        <v>193.2</v>
      </c>
      <c r="F64" s="640">
        <f t="shared" si="8"/>
        <v>119.05000000000001</v>
      </c>
      <c r="G64" s="640">
        <f t="shared" si="9"/>
        <v>846.94999999999993</v>
      </c>
      <c r="H64" s="641">
        <f t="shared" si="10"/>
        <v>0.1405631973552158</v>
      </c>
      <c r="I64" s="640"/>
    </row>
    <row r="65" spans="2:9" x14ac:dyDescent="0.25">
      <c r="B65" s="639">
        <v>42431</v>
      </c>
      <c r="C65" s="638">
        <v>5</v>
      </c>
      <c r="D65" s="640">
        <v>169.39</v>
      </c>
      <c r="E65" s="640">
        <v>199</v>
      </c>
      <c r="F65" s="640">
        <f t="shared" si="8"/>
        <v>148.05000000000007</v>
      </c>
      <c r="G65" s="640">
        <f t="shared" si="9"/>
        <v>846.94999999999993</v>
      </c>
      <c r="H65" s="641">
        <f t="shared" si="10"/>
        <v>0.17480370742074511</v>
      </c>
      <c r="I65" s="640"/>
    </row>
    <row r="66" spans="2:9" x14ac:dyDescent="0.25">
      <c r="B66" s="639">
        <v>42440</v>
      </c>
      <c r="C66" s="638">
        <v>0</v>
      </c>
      <c r="D66" s="640"/>
      <c r="E66" s="640"/>
      <c r="F66" s="640">
        <v>160.83000000000001</v>
      </c>
      <c r="G66" s="640"/>
      <c r="H66" s="641"/>
      <c r="I66" s="640"/>
    </row>
    <row r="67" spans="2:9" x14ac:dyDescent="0.25">
      <c r="B67" s="639"/>
      <c r="C67" s="638"/>
      <c r="D67" s="640"/>
      <c r="E67" s="640"/>
      <c r="F67" s="640"/>
      <c r="G67" s="640"/>
      <c r="H67" s="641"/>
      <c r="I67" s="640"/>
    </row>
    <row r="68" spans="2:9" x14ac:dyDescent="0.25">
      <c r="B68" s="639"/>
      <c r="C68" s="638"/>
      <c r="D68" s="640"/>
      <c r="E68" s="640"/>
      <c r="F68" s="640"/>
      <c r="G68" s="640"/>
      <c r="H68" s="641"/>
      <c r="I68" s="640"/>
    </row>
    <row r="69" spans="2:9" x14ac:dyDescent="0.25">
      <c r="B69" s="639"/>
      <c r="C69" s="638"/>
      <c r="D69" s="640"/>
      <c r="E69" s="640"/>
      <c r="F69" s="640"/>
      <c r="G69" s="640"/>
      <c r="H69" s="641"/>
      <c r="I69" s="640"/>
    </row>
    <row r="70" spans="2:9" x14ac:dyDescent="0.25">
      <c r="B70" s="639"/>
      <c r="C70" s="638"/>
      <c r="D70" s="640"/>
      <c r="E70" s="640"/>
      <c r="F70" s="640"/>
      <c r="G70" s="640"/>
      <c r="H70" s="641"/>
      <c r="I70" s="640"/>
    </row>
    <row r="71" spans="2:9" x14ac:dyDescent="0.25">
      <c r="B71" s="639"/>
      <c r="C71" s="638"/>
      <c r="D71" s="640"/>
      <c r="E71" s="640"/>
      <c r="F71" s="640"/>
      <c r="G71" s="640"/>
      <c r="H71" s="641"/>
      <c r="I71" s="640"/>
    </row>
    <row r="72" spans="2:9" x14ac:dyDescent="0.25">
      <c r="B72" s="639"/>
      <c r="C72" s="638"/>
      <c r="D72" s="640"/>
      <c r="E72" s="640"/>
      <c r="F72" s="640"/>
      <c r="G72" s="640"/>
      <c r="H72" s="641"/>
      <c r="I72" s="640"/>
    </row>
  </sheetData>
  <mergeCells count="1">
    <mergeCell ref="P17:Q17"/>
  </mergeCells>
  <conditionalFormatting sqref="F25:F27">
    <cfRule type="expression" dxfId="722" priority="35">
      <formula>F25&gt;0</formula>
    </cfRule>
    <cfRule type="expression" dxfId="721" priority="36">
      <formula>F25&lt;0</formula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20" priority="27">
      <formula>F28&gt;0</formula>
    </cfRule>
    <cfRule type="expression" dxfId="719" priority="28">
      <formula>F28&lt;0</formula>
    </cfRule>
  </conditionalFormatting>
  <conditionalFormatting sqref="F28:F35">
    <cfRule type="expression" dxfId="718" priority="29">
      <formula>F28&gt;0</formula>
    </cfRule>
    <cfRule type="expression" dxfId="717" priority="30">
      <formula>F28&lt;0</formula>
    </cfRule>
  </conditionalFormatting>
  <conditionalFormatting sqref="H25:H35">
    <cfRule type="expression" dxfId="716" priority="25">
      <formula>H25&gt;0</formula>
    </cfRule>
    <cfRule type="expression" dxfId="715" priority="26">
      <formula>H25&lt;0</formula>
    </cfRule>
  </conditionalFormatting>
  <conditionalFormatting sqref="F21:F24">
    <cfRule type="expression" dxfId="714" priority="23">
      <formula>F21&gt;0</formula>
    </cfRule>
    <cfRule type="expression" dxfId="713" priority="24">
      <formula>F21&lt;0</formula>
    </cfRule>
  </conditionalFormatting>
  <conditionalFormatting sqref="H21:H24">
    <cfRule type="expression" dxfId="712" priority="21">
      <formula>H21&gt;0</formula>
    </cfRule>
    <cfRule type="expression" dxfId="711" priority="22">
      <formula>H21&lt;0</formula>
    </cfRule>
  </conditionalFormatting>
  <conditionalFormatting sqref="Q8">
    <cfRule type="expression" dxfId="710" priority="17">
      <formula>Q8&gt;0</formula>
    </cfRule>
    <cfRule type="expression" dxfId="709" priority="18">
      <formula>Q8&lt;0</formula>
    </cfRule>
  </conditionalFormatting>
  <conditionalFormatting sqref="Q7">
    <cfRule type="expression" dxfId="708" priority="19">
      <formula>Q7&gt;0</formula>
    </cfRule>
    <cfRule type="expression" dxfId="707" priority="20">
      <formula>Q7&lt;0</formula>
    </cfRule>
  </conditionalFormatting>
  <conditionalFormatting sqref="F62:F64">
    <cfRule type="expression" dxfId="706" priority="15">
      <formula>F62&gt;0</formula>
    </cfRule>
    <cfRule type="expression" dxfId="705" priority="16">
      <formula>F62&lt;0</formula>
    </cfRule>
  </conditionalFormatting>
  <conditionalFormatting sqref="F65:F72">
    <cfRule type="expression" dxfId="704" priority="11">
      <formula>F65&gt;0</formula>
    </cfRule>
    <cfRule type="expression" dxfId="703" priority="12">
      <formula>F65&lt;0</formula>
    </cfRule>
  </conditionalFormatting>
  <conditionalFormatting sqref="F65:F72">
    <cfRule type="expression" dxfId="702" priority="13">
      <formula>F65&gt;0</formula>
    </cfRule>
    <cfRule type="expression" dxfId="701" priority="14">
      <formula>F65&lt;0</formula>
    </cfRule>
  </conditionalFormatting>
  <conditionalFormatting sqref="H62:H72">
    <cfRule type="expression" dxfId="700" priority="9">
      <formula>H62&gt;0</formula>
    </cfRule>
    <cfRule type="expression" dxfId="699" priority="10">
      <formula>H62&lt;0</formula>
    </cfRule>
  </conditionalFormatting>
  <conditionalFormatting sqref="F58:F61">
    <cfRule type="expression" dxfId="698" priority="7">
      <formula>F58&gt;0</formula>
    </cfRule>
    <cfRule type="expression" dxfId="697" priority="8">
      <formula>F58&lt;0</formula>
    </cfRule>
  </conditionalFormatting>
  <conditionalFormatting sqref="H58:H61">
    <cfRule type="expression" dxfId="696" priority="5">
      <formula>H58&gt;0</formula>
    </cfRule>
    <cfRule type="expression" dxfId="695" priority="6">
      <formula>H58&lt;0</formula>
    </cfRule>
  </conditionalFormatting>
  <conditionalFormatting sqref="Q10">
    <cfRule type="expression" dxfId="694" priority="3">
      <formula>Q10&gt;0</formula>
    </cfRule>
    <cfRule type="expression" dxfId="693" priority="4">
      <formula>Q10&lt;0</formula>
    </cfRule>
  </conditionalFormatting>
  <conditionalFormatting sqref="J27:J33">
    <cfRule type="expression" dxfId="692" priority="1">
      <formula>J27&gt;0</formula>
    </cfRule>
    <cfRule type="expression" dxfId="691" priority="2">
      <formula>J27&lt;0</formula>
    </cfRule>
  </conditionalFormatting>
  <hyperlinks>
    <hyperlink ref="A3" location="ACTIVE!A1" display="Back"/>
    <hyperlink ref="A4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78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6">
        <v>60</v>
      </c>
      <c r="D23" s="42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5">
        <v>120</v>
      </c>
      <c r="D25" s="439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3">
        <v>60</v>
      </c>
      <c r="D27" s="430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0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8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7">
        <v>67.2</v>
      </c>
      <c r="E53" s="357">
        <v>0</v>
      </c>
      <c r="F53" s="357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7">
        <v>63.68</v>
      </c>
      <c r="E61" s="357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2" t="s">
        <v>194</v>
      </c>
      <c r="B75" s="443"/>
      <c r="C75" s="444">
        <f>SumByColor($A$19,C58:C73)</f>
        <v>0</v>
      </c>
      <c r="D75" s="444"/>
      <c r="E75" s="444"/>
      <c r="F75" s="445">
        <f>SumByColor($A$19,F58:F73)</f>
        <v>0</v>
      </c>
      <c r="G75" s="444"/>
      <c r="H75" s="444">
        <f>SumByColor($A$19,H58:H73)</f>
        <v>0</v>
      </c>
      <c r="I75" s="444"/>
      <c r="J75" s="444"/>
      <c r="K75" s="445">
        <f>SumByColor($A$19,K58:K73)</f>
        <v>0</v>
      </c>
      <c r="L75" s="444"/>
      <c r="M75" s="44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0" priority="29">
      <formula>F40&gt;0</formula>
    </cfRule>
    <cfRule type="expression" dxfId="689" priority="30">
      <formula>F40&lt;0</formula>
    </cfRule>
  </conditionalFormatting>
  <conditionalFormatting sqref="F40:F45">
    <cfRule type="expression" dxfId="688" priority="31">
      <formula>F40&gt;0</formula>
    </cfRule>
    <cfRule type="expression" dxfId="687" priority="32">
      <formula>F40&lt;0</formula>
    </cfRule>
  </conditionalFormatting>
  <conditionalFormatting sqref="H40:H45">
    <cfRule type="expression" dxfId="686" priority="27">
      <formula>H40&gt;0</formula>
    </cfRule>
    <cfRule type="expression" dxfId="685" priority="28">
      <formula>H40&lt;0</formula>
    </cfRule>
  </conditionalFormatting>
  <conditionalFormatting sqref="F23:F39">
    <cfRule type="expression" dxfId="684" priority="13">
      <formula>F23&gt;0</formula>
    </cfRule>
    <cfRule type="expression" dxfId="683" priority="14">
      <formula>F23&lt;0</formula>
    </cfRule>
  </conditionalFormatting>
  <conditionalFormatting sqref="H23:H39">
    <cfRule type="expression" dxfId="682" priority="11">
      <formula>H23&gt;0</formula>
    </cfRule>
    <cfRule type="expression" dxfId="681" priority="12">
      <formula>H23&lt;0</formula>
    </cfRule>
  </conditionalFormatting>
  <conditionalFormatting sqref="Q7">
    <cfRule type="expression" dxfId="680" priority="9">
      <formula>Q7&gt;0</formula>
    </cfRule>
    <cfRule type="expression" dxfId="679" priority="10">
      <formula>Q7&lt;0</formula>
    </cfRule>
  </conditionalFormatting>
  <conditionalFormatting sqref="Q8">
    <cfRule type="expression" dxfId="678" priority="7">
      <formula>Q8&gt;0</formula>
    </cfRule>
    <cfRule type="expression" dxfId="677" priority="8">
      <formula>Q8&lt;0</formula>
    </cfRule>
  </conditionalFormatting>
  <conditionalFormatting sqref="Q10">
    <cfRule type="expression" dxfId="676" priority="1">
      <formula>Q10&gt;0</formula>
    </cfRule>
    <cfRule type="expression" dxfId="67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78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1" t="s">
        <v>1</v>
      </c>
      <c r="B37" s="371" t="s">
        <v>2</v>
      </c>
      <c r="C37" s="371" t="s">
        <v>4</v>
      </c>
      <c r="D37" s="372" t="s">
        <v>5</v>
      </c>
      <c r="E37" s="373" t="s">
        <v>94</v>
      </c>
      <c r="F37" s="373" t="s">
        <v>60</v>
      </c>
      <c r="G37" s="371" t="s">
        <v>3</v>
      </c>
      <c r="H37" s="371" t="s">
        <v>6</v>
      </c>
      <c r="I37" s="372" t="s">
        <v>7</v>
      </c>
      <c r="J37" s="373" t="s">
        <v>95</v>
      </c>
      <c r="K37" s="37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4" t="s">
        <v>8</v>
      </c>
      <c r="B38" s="364">
        <v>42375</v>
      </c>
      <c r="C38" s="369">
        <v>40</v>
      </c>
      <c r="D38" s="370">
        <v>52.4</v>
      </c>
      <c r="E38" s="366">
        <v>0</v>
      </c>
      <c r="F38" s="366">
        <f>C38*D38+E38</f>
        <v>2096</v>
      </c>
      <c r="G38" s="364">
        <v>42416</v>
      </c>
      <c r="H38" s="369">
        <v>40</v>
      </c>
      <c r="I38" s="370">
        <v>55.45</v>
      </c>
      <c r="J38" s="366">
        <v>0.05</v>
      </c>
      <c r="K38" s="366">
        <f>H38*I38-J38</f>
        <v>2217.9499999999998</v>
      </c>
      <c r="L38" s="365"/>
      <c r="M38" s="36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5"/>
      <c r="B39" s="364"/>
      <c r="C39" s="369"/>
      <c r="D39" s="370"/>
      <c r="E39" s="366"/>
      <c r="F39" s="366"/>
      <c r="G39" s="364"/>
      <c r="H39" s="369"/>
      <c r="I39" s="370"/>
      <c r="J39" s="366"/>
      <c r="K39" s="366"/>
      <c r="L39" s="365"/>
      <c r="M39" s="36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5"/>
      <c r="B40" s="364"/>
      <c r="C40" s="369"/>
      <c r="D40" s="370"/>
      <c r="E40" s="366"/>
      <c r="F40" s="366"/>
      <c r="G40" s="364"/>
      <c r="H40" s="369"/>
      <c r="I40" s="370"/>
      <c r="J40" s="366"/>
      <c r="K40" s="366"/>
      <c r="L40" s="365"/>
      <c r="M40" s="36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5"/>
      <c r="B41" s="364"/>
      <c r="C41" s="369"/>
      <c r="D41" s="370"/>
      <c r="E41" s="366"/>
      <c r="F41" s="366"/>
      <c r="G41" s="364"/>
      <c r="H41" s="369"/>
      <c r="I41" s="370"/>
      <c r="J41" s="366"/>
      <c r="K41" s="366"/>
      <c r="L41" s="365"/>
      <c r="M41" s="36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5"/>
      <c r="B42" s="364"/>
      <c r="C42" s="369"/>
      <c r="D42" s="370"/>
      <c r="E42" s="366"/>
      <c r="F42" s="366"/>
      <c r="G42" s="364"/>
      <c r="H42" s="369"/>
      <c r="I42" s="370"/>
      <c r="J42" s="366"/>
      <c r="K42" s="366"/>
      <c r="L42" s="365"/>
      <c r="M42" s="365"/>
      <c r="O42" s="359" t="s">
        <v>78</v>
      </c>
      <c r="P42" s="359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5"/>
      <c r="B43" s="364"/>
      <c r="C43" s="369"/>
      <c r="D43" s="370"/>
      <c r="E43" s="366"/>
      <c r="F43" s="366"/>
      <c r="G43" s="364"/>
      <c r="H43" s="369"/>
      <c r="I43" s="370"/>
      <c r="J43" s="366"/>
      <c r="K43" s="366"/>
      <c r="L43" s="365"/>
      <c r="M43" s="365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5"/>
      <c r="B44" s="364"/>
      <c r="C44" s="369"/>
      <c r="D44" s="370"/>
      <c r="E44" s="366"/>
      <c r="F44" s="366"/>
      <c r="G44" s="364"/>
      <c r="H44" s="369"/>
      <c r="I44" s="370"/>
      <c r="J44" s="366"/>
      <c r="K44" s="366"/>
      <c r="L44" s="365"/>
      <c r="M44" s="365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5"/>
      <c r="B45" s="365"/>
      <c r="C45" s="365"/>
      <c r="D45" s="370"/>
      <c r="E45" s="366"/>
      <c r="F45" s="366"/>
      <c r="G45" s="365"/>
      <c r="H45" s="365"/>
      <c r="I45" s="370"/>
      <c r="J45" s="366"/>
      <c r="K45" s="366"/>
      <c r="L45" s="365"/>
      <c r="M45" s="365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5"/>
      <c r="B46" s="365"/>
      <c r="C46" s="365"/>
      <c r="D46" s="370"/>
      <c r="E46" s="366"/>
      <c r="F46" s="366"/>
      <c r="G46" s="365"/>
      <c r="H46" s="365"/>
      <c r="I46" s="370"/>
      <c r="J46" s="366"/>
      <c r="K46" s="366"/>
      <c r="L46" s="365"/>
      <c r="M46" s="365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5"/>
      <c r="B47" s="365"/>
      <c r="C47" s="365"/>
      <c r="D47" s="370"/>
      <c r="E47" s="366"/>
      <c r="F47" s="366"/>
      <c r="G47" s="365"/>
      <c r="H47" s="365"/>
      <c r="I47" s="370"/>
      <c r="J47" s="366"/>
      <c r="K47" s="366"/>
      <c r="L47" s="365"/>
      <c r="M47" s="365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5"/>
      <c r="B48" s="365"/>
      <c r="C48" s="365"/>
      <c r="D48" s="370"/>
      <c r="E48" s="366"/>
      <c r="F48" s="366"/>
      <c r="G48" s="365"/>
      <c r="H48" s="365"/>
      <c r="I48" s="370"/>
      <c r="J48" s="366"/>
      <c r="K48" s="366"/>
      <c r="L48" s="365"/>
      <c r="M48" s="365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5"/>
      <c r="B49" s="365"/>
      <c r="C49" s="365"/>
      <c r="D49" s="370"/>
      <c r="E49" s="366"/>
      <c r="F49" s="366"/>
      <c r="G49" s="365"/>
      <c r="H49" s="365"/>
      <c r="I49" s="370"/>
      <c r="J49" s="366"/>
      <c r="K49" s="366"/>
      <c r="L49" s="365"/>
      <c r="M49" s="365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5"/>
      <c r="B50" s="365"/>
      <c r="C50" s="365"/>
      <c r="D50" s="370"/>
      <c r="E50" s="366"/>
      <c r="F50" s="366"/>
      <c r="G50" s="365"/>
      <c r="H50" s="365"/>
      <c r="I50" s="370"/>
      <c r="J50" s="366"/>
      <c r="K50" s="366"/>
      <c r="L50" s="365"/>
      <c r="M50" s="365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5"/>
      <c r="B51" s="365"/>
      <c r="C51" s="365"/>
      <c r="D51" s="370"/>
      <c r="E51" s="366"/>
      <c r="F51" s="366"/>
      <c r="G51" s="365"/>
      <c r="H51" s="365"/>
      <c r="I51" s="370"/>
      <c r="J51" s="366"/>
      <c r="K51" s="366"/>
      <c r="L51" s="365"/>
      <c r="M51" s="365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5"/>
      <c r="B52" s="365"/>
      <c r="C52" s="365"/>
      <c r="D52" s="370"/>
      <c r="E52" s="366"/>
      <c r="F52" s="366"/>
      <c r="G52" s="365"/>
      <c r="H52" s="365"/>
      <c r="I52" s="370"/>
      <c r="J52" s="366"/>
      <c r="K52" s="366"/>
      <c r="L52" s="365"/>
      <c r="M52" s="365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5"/>
      <c r="B53" s="365"/>
      <c r="C53" s="365"/>
      <c r="D53" s="370"/>
      <c r="E53" s="366"/>
      <c r="F53" s="366"/>
      <c r="G53" s="365"/>
      <c r="H53" s="365"/>
      <c r="I53" s="370"/>
      <c r="J53" s="366"/>
      <c r="K53" s="366"/>
      <c r="L53" s="365"/>
      <c r="M53" s="365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4" priority="39">
      <formula>Q12&gt;0</formula>
    </cfRule>
    <cfRule type="expression" dxfId="67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2" priority="33">
      <formula>F25&gt;0</formula>
    </cfRule>
    <cfRule type="expression" dxfId="671" priority="34">
      <formula>F25&lt;0</formula>
    </cfRule>
  </conditionalFormatting>
  <conditionalFormatting sqref="F30">
    <cfRule type="expression" dxfId="670" priority="31">
      <formula>F30&gt;0</formula>
    </cfRule>
    <cfRule type="expression" dxfId="669" priority="32">
      <formula>F30&lt;0</formula>
    </cfRule>
  </conditionalFormatting>
  <conditionalFormatting sqref="F31">
    <cfRule type="expression" dxfId="668" priority="29">
      <formula>F31&gt;0</formula>
    </cfRule>
    <cfRule type="expression" dxfId="667" priority="30">
      <formula>F31&lt;0</formula>
    </cfRule>
  </conditionalFormatting>
  <conditionalFormatting sqref="F32:F34">
    <cfRule type="expression" dxfId="666" priority="27">
      <formula>F32&gt;0</formula>
    </cfRule>
    <cfRule type="expression" dxfId="665" priority="28">
      <formula>F32&lt;0</formula>
    </cfRule>
  </conditionalFormatting>
  <conditionalFormatting sqref="H25:H29">
    <cfRule type="expression" dxfId="664" priority="25">
      <formula>H25&gt;0</formula>
    </cfRule>
    <cfRule type="expression" dxfId="663" priority="26">
      <formula>H25&lt;0</formula>
    </cfRule>
  </conditionalFormatting>
  <conditionalFormatting sqref="H30">
    <cfRule type="expression" dxfId="662" priority="23">
      <formula>H30&gt;0</formula>
    </cfRule>
    <cfRule type="expression" dxfId="661" priority="24">
      <formula>H30&lt;0</formula>
    </cfRule>
  </conditionalFormatting>
  <conditionalFormatting sqref="H31">
    <cfRule type="expression" dxfId="660" priority="21">
      <formula>H31&gt;0</formula>
    </cfRule>
    <cfRule type="expression" dxfId="659" priority="22">
      <formula>H31&lt;0</formula>
    </cfRule>
  </conditionalFormatting>
  <conditionalFormatting sqref="H32:H34">
    <cfRule type="expression" dxfId="658" priority="19">
      <formula>H32&gt;0</formula>
    </cfRule>
    <cfRule type="expression" dxfId="657" priority="20">
      <formula>H32&lt;0</formula>
    </cfRule>
  </conditionalFormatting>
  <conditionalFormatting sqref="F35">
    <cfRule type="expression" dxfId="656" priority="17">
      <formula>F35&gt;0</formula>
    </cfRule>
    <cfRule type="expression" dxfId="655" priority="18">
      <formula>F35&lt;0</formula>
    </cfRule>
  </conditionalFormatting>
  <conditionalFormatting sqref="H35">
    <cfRule type="expression" dxfId="654" priority="15">
      <formula>H35&gt;0</formula>
    </cfRule>
    <cfRule type="expression" dxfId="653" priority="16">
      <formula>H35&lt;0</formula>
    </cfRule>
  </conditionalFormatting>
  <conditionalFormatting sqref="F36">
    <cfRule type="expression" dxfId="652" priority="13">
      <formula>F36&gt;0</formula>
    </cfRule>
    <cfRule type="expression" dxfId="651" priority="14">
      <formula>F36&lt;0</formula>
    </cfRule>
  </conditionalFormatting>
  <conditionalFormatting sqref="H36">
    <cfRule type="expression" dxfId="650" priority="11">
      <formula>H36&gt;0</formula>
    </cfRule>
    <cfRule type="expression" dxfId="649" priority="12">
      <formula>H36&lt;0</formula>
    </cfRule>
  </conditionalFormatting>
  <conditionalFormatting sqref="H23:H24">
    <cfRule type="expression" dxfId="648" priority="5">
      <formula>H23&gt;0</formula>
    </cfRule>
    <cfRule type="expression" dxfId="647" priority="6">
      <formula>H23&lt;0</formula>
    </cfRule>
  </conditionalFormatting>
  <conditionalFormatting sqref="F23:F24">
    <cfRule type="expression" dxfId="646" priority="7">
      <formula>F23&gt;0</formula>
    </cfRule>
    <cfRule type="expression" dxfId="645" priority="8">
      <formula>F23&lt;0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7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7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2"/>
      <c r="X3" s="134"/>
      <c r="AG3" s="228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50.89</v>
      </c>
      <c r="R4" s="478">
        <v>-3.44E-2</v>
      </c>
      <c r="T4" s="833">
        <v>43203</v>
      </c>
      <c r="U4" t="s">
        <v>1030</v>
      </c>
      <c r="W4" s="2"/>
      <c r="X4" s="134"/>
      <c r="AD4" s="228"/>
      <c r="AG4" s="228"/>
    </row>
    <row r="5" spans="1:33" x14ac:dyDescent="0.25">
      <c r="B5" s="477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7"/>
      <c r="I5" s="73"/>
      <c r="J5" s="73"/>
      <c r="K5" s="3"/>
      <c r="L5" s="4"/>
      <c r="M5" s="4"/>
      <c r="O5" s="11" t="s">
        <v>67</v>
      </c>
      <c r="Q5" s="3">
        <f>Q4*Q2</f>
        <v>10178</v>
      </c>
      <c r="U5" t="s">
        <v>1034</v>
      </c>
      <c r="W5" s="2"/>
      <c r="X5" s="134"/>
      <c r="AD5" s="228"/>
      <c r="AG5" s="228"/>
    </row>
    <row r="6" spans="1:33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1207.7300000000014</v>
      </c>
      <c r="R7">
        <v>120</v>
      </c>
      <c r="T7" s="83"/>
      <c r="W7" s="2"/>
      <c r="X7" s="134"/>
      <c r="AD7" s="228"/>
      <c r="AG7" s="228"/>
    </row>
    <row r="8" spans="1:33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-396.85000000000036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-3.7527719069301253E-2</v>
      </c>
      <c r="W9" s="2"/>
      <c r="X9" s="134"/>
      <c r="AD9" s="228"/>
      <c r="AG9" s="228"/>
    </row>
    <row r="10" spans="1:33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3.0654352525054038E-2</v>
      </c>
      <c r="R11">
        <v>0.39</v>
      </c>
      <c r="W11" s="2"/>
      <c r="X11" s="134"/>
      <c r="AD11" s="228"/>
      <c r="AG11" s="228"/>
    </row>
    <row r="12" spans="1:33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968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2"/>
      <c r="X13" s="134"/>
      <c r="AD13" s="228"/>
      <c r="AG13" s="228"/>
    </row>
    <row r="14" spans="1:33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8"/>
      <c r="AG15" s="228"/>
    </row>
    <row r="16" spans="1:33" ht="20.25" thickBot="1" x14ac:dyDescent="0.35">
      <c r="H16" s="70"/>
      <c r="P16" s="832" t="s">
        <v>78</v>
      </c>
      <c r="Q16" s="832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55.979000000000006</v>
      </c>
      <c r="W17" s="2"/>
      <c r="X17" s="134"/>
      <c r="AD17" s="228"/>
      <c r="AG17" s="228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55.470100000000002</v>
      </c>
      <c r="W18" s="2"/>
      <c r="X18" s="134"/>
    </row>
    <row r="19" spans="1:33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P19" s="81">
        <v>1.08</v>
      </c>
      <c r="Q19" s="81">
        <f t="shared" si="0"/>
        <v>54.961200000000005</v>
      </c>
      <c r="W19" s="2"/>
      <c r="X19" s="134"/>
      <c r="AD19" s="228"/>
      <c r="AG19" s="228"/>
    </row>
    <row r="20" spans="1:33" x14ac:dyDescent="0.25">
      <c r="P20" s="81">
        <v>1.07</v>
      </c>
      <c r="Q20" s="81">
        <f t="shared" si="0"/>
        <v>54.452300000000001</v>
      </c>
      <c r="W20" s="2"/>
      <c r="X20" s="134"/>
    </row>
    <row r="21" spans="1:33" x14ac:dyDescent="0.25">
      <c r="P21" s="81">
        <v>1.06</v>
      </c>
      <c r="Q21" s="81">
        <f t="shared" si="0"/>
        <v>53.943400000000004</v>
      </c>
      <c r="W21" s="2"/>
      <c r="X21" s="134"/>
      <c r="AD21" s="228"/>
      <c r="AG21" s="228"/>
    </row>
    <row r="22" spans="1:33" x14ac:dyDescent="0.25">
      <c r="P22" s="81">
        <v>1.05</v>
      </c>
      <c r="Q22" s="81">
        <f t="shared" si="0"/>
        <v>53.4345</v>
      </c>
      <c r="W22" s="2"/>
      <c r="X22" s="134"/>
    </row>
    <row r="23" spans="1:33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504</v>
      </c>
      <c r="L23" s="10"/>
      <c r="M23" s="10"/>
      <c r="P23" s="81">
        <v>1.04</v>
      </c>
      <c r="Q23" s="81">
        <f t="shared" si="0"/>
        <v>52.925600000000003</v>
      </c>
      <c r="W23" s="2"/>
      <c r="X23" s="134"/>
      <c r="AD23" s="228"/>
    </row>
    <row r="24" spans="1:33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5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52.416699999999999</v>
      </c>
      <c r="W24" s="2"/>
      <c r="X24" s="134"/>
    </row>
    <row r="25" spans="1:33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5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51.907800000000002</v>
      </c>
      <c r="W25" s="2"/>
      <c r="X25" s="134"/>
    </row>
    <row r="26" spans="1:33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5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51.398899999999998</v>
      </c>
      <c r="W26" s="2"/>
      <c r="X26" s="134"/>
    </row>
    <row r="27" spans="1:33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5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50.89</v>
      </c>
      <c r="W27" s="2"/>
      <c r="X27" s="134"/>
    </row>
    <row r="28" spans="1:33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5">
        <f t="shared" ref="H28" si="15">(E28-D28)/D28</f>
        <v>0.10901498946238426</v>
      </c>
      <c r="I28" s="39" t="s">
        <v>787</v>
      </c>
      <c r="J28" s="39">
        <v>2047</v>
      </c>
      <c r="K28" s="39"/>
      <c r="L28" s="10"/>
      <c r="M28" s="10"/>
      <c r="P28" s="81">
        <v>0.99</v>
      </c>
      <c r="Q28" s="81">
        <f t="shared" si="0"/>
        <v>50.381100000000004</v>
      </c>
      <c r="W28" s="2"/>
      <c r="X28" s="134"/>
    </row>
    <row r="29" spans="1:33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5">
        <f t="shared" ref="H29" si="18">(E29-D29)/D29</f>
        <v>0.22425782822502341</v>
      </c>
      <c r="I29" s="39" t="s">
        <v>874</v>
      </c>
      <c r="J29" s="39">
        <v>2514</v>
      </c>
      <c r="K29" s="39"/>
      <c r="L29" s="10"/>
      <c r="M29" s="10"/>
      <c r="P29" s="81">
        <v>0.98</v>
      </c>
      <c r="Q29" s="81">
        <f t="shared" si="0"/>
        <v>49.872199999999999</v>
      </c>
      <c r="W29" s="2"/>
      <c r="X29" s="134"/>
    </row>
    <row r="30" spans="1:33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5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49.363300000000002</v>
      </c>
      <c r="W30" s="2"/>
      <c r="X30" s="134"/>
    </row>
    <row r="31" spans="1:33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5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48.854399999999998</v>
      </c>
      <c r="W31" s="2"/>
      <c r="X31" s="134"/>
    </row>
    <row r="32" spans="1:33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5">
        <f t="shared" ref="H32" si="27">(E32-D32)/D32</f>
        <v>5.0956620572078004E-2</v>
      </c>
      <c r="I32" s="39" t="s">
        <v>985</v>
      </c>
      <c r="J32" s="39">
        <v>1927</v>
      </c>
      <c r="K32" s="39"/>
      <c r="L32" s="10"/>
      <c r="M32" s="10"/>
      <c r="P32" s="81">
        <v>0.95</v>
      </c>
      <c r="Q32" s="81">
        <f t="shared" si="0"/>
        <v>48.345500000000001</v>
      </c>
      <c r="W32" s="2"/>
      <c r="X32" s="134"/>
    </row>
    <row r="33" spans="1:24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5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47.836599999999997</v>
      </c>
      <c r="W33" s="2"/>
      <c r="X33" s="134"/>
    </row>
    <row r="34" spans="1:24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5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47.3277</v>
      </c>
      <c r="W34" s="2"/>
      <c r="X34" s="134"/>
    </row>
    <row r="35" spans="1:24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5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46.818800000000003</v>
      </c>
      <c r="W35" s="2"/>
      <c r="X35" s="134"/>
    </row>
    <row r="36" spans="1:24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5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46.309899999999999</v>
      </c>
      <c r="W36" s="2"/>
      <c r="X36" s="134"/>
    </row>
    <row r="37" spans="1:24" x14ac:dyDescent="0.25">
      <c r="A37" s="10">
        <v>120</v>
      </c>
      <c r="B37" s="187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5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45.801000000000002</v>
      </c>
      <c r="W37" s="2"/>
      <c r="X37" s="134"/>
    </row>
    <row r="38" spans="1:24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O44" s="2"/>
      <c r="R44" s="81"/>
      <c r="W44" s="2"/>
      <c r="X44" s="134"/>
    </row>
    <row r="45" spans="1:24" x14ac:dyDescent="0.25">
      <c r="O45" s="2"/>
      <c r="R45" s="81"/>
      <c r="W45" s="2"/>
      <c r="X45" s="134"/>
    </row>
    <row r="46" spans="1:24" x14ac:dyDescent="0.25">
      <c r="O46" s="2"/>
      <c r="R46" s="81"/>
      <c r="W46" s="2"/>
      <c r="X46" s="134"/>
    </row>
    <row r="47" spans="1:24" x14ac:dyDescent="0.25"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R51" s="81"/>
      <c r="X51" s="134"/>
    </row>
    <row r="52" spans="1:24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3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R52" s="81"/>
      <c r="X52" s="134"/>
    </row>
    <row r="53" spans="1:24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3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4">I53*H53-J53</f>
        <v>1956.36</v>
      </c>
      <c r="L53" s="258">
        <v>42522</v>
      </c>
      <c r="M53" s="254">
        <v>30.4</v>
      </c>
      <c r="O53" s="2"/>
      <c r="R53" s="81"/>
      <c r="X53" s="134"/>
    </row>
    <row r="54" spans="1:24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3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4"/>
        <v>2038.76</v>
      </c>
      <c r="L54" s="258">
        <v>42614</v>
      </c>
      <c r="M54" s="254">
        <v>41.8</v>
      </c>
      <c r="O54" s="2"/>
      <c r="R54" s="81"/>
      <c r="X54" s="134"/>
    </row>
    <row r="55" spans="1:24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3"/>
        <v>2000.3999999999999</v>
      </c>
      <c r="G55" s="258">
        <v>42514</v>
      </c>
      <c r="H55" s="395">
        <v>40</v>
      </c>
      <c r="I55" s="357">
        <v>49.29</v>
      </c>
      <c r="J55" s="357">
        <v>0.04</v>
      </c>
      <c r="K55" s="357">
        <f t="shared" si="44"/>
        <v>1971.56</v>
      </c>
      <c r="L55" s="253"/>
      <c r="M55" s="253"/>
      <c r="O55" s="2"/>
      <c r="R55" s="81"/>
      <c r="X55" s="134"/>
    </row>
    <row r="56" spans="1:24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3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7">
        <f t="shared" si="44"/>
        <v>1014.38</v>
      </c>
      <c r="L56" s="253"/>
      <c r="M56" s="253"/>
      <c r="O56" s="2"/>
      <c r="R56" s="81"/>
      <c r="X56" s="134"/>
    </row>
    <row r="57" spans="1:24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3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7">
        <f t="shared" si="44"/>
        <v>1517.67</v>
      </c>
      <c r="L57" s="253"/>
      <c r="M57" s="253"/>
      <c r="O57" s="2"/>
      <c r="R57" s="81"/>
      <c r="X57" s="134"/>
    </row>
    <row r="58" spans="1:24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3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4"/>
        <v>1460.3700000000001</v>
      </c>
      <c r="L58" s="253"/>
      <c r="M58" s="253"/>
      <c r="O58" s="2"/>
      <c r="R58" s="81"/>
      <c r="X58" s="134"/>
    </row>
    <row r="59" spans="1:24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3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4"/>
        <v>3976.71</v>
      </c>
      <c r="L59" s="253"/>
      <c r="M59" s="253"/>
      <c r="O59" s="2"/>
      <c r="R59" s="81"/>
      <c r="X59" s="134"/>
    </row>
    <row r="60" spans="1:24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3"/>
        <v>1427.3999999999999</v>
      </c>
      <c r="G60" s="253"/>
      <c r="H60" s="253"/>
      <c r="I60" s="254"/>
      <c r="J60" s="254"/>
      <c r="K60" s="254"/>
      <c r="L60" s="253"/>
      <c r="M60" s="253"/>
      <c r="O60" s="2"/>
      <c r="R60" s="81"/>
      <c r="X60" s="134"/>
    </row>
    <row r="61" spans="1:24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X61" s="134"/>
    </row>
    <row r="62" spans="1:24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X62" s="134"/>
    </row>
    <row r="63" spans="1:24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X63" s="134"/>
    </row>
    <row r="64" spans="1:24" x14ac:dyDescent="0.25">
      <c r="A64" s="253"/>
      <c r="B64" s="258"/>
      <c r="C64" s="253"/>
      <c r="D64" s="254"/>
      <c r="E64" s="254"/>
      <c r="F64" s="254"/>
      <c r="G64" s="258"/>
      <c r="H64" s="395"/>
      <c r="I64" s="357"/>
      <c r="J64" s="357"/>
      <c r="K64" s="357"/>
      <c r="L64" s="253"/>
      <c r="M64" s="253"/>
      <c r="X64" s="134"/>
    </row>
    <row r="65" spans="1:24" x14ac:dyDescent="0.25">
      <c r="A65" s="253"/>
      <c r="B65" s="437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7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X65" s="134"/>
    </row>
    <row r="66" spans="1:24" x14ac:dyDescent="0.25">
      <c r="A66" s="253"/>
      <c r="B66" s="437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X66" s="134"/>
    </row>
    <row r="67" spans="1:24" x14ac:dyDescent="0.25">
      <c r="A67" s="253"/>
      <c r="B67" s="437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7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X67" s="134"/>
    </row>
    <row r="68" spans="1:24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7"/>
      <c r="L68" s="253"/>
      <c r="M68" s="253"/>
      <c r="X68" s="134"/>
    </row>
    <row r="69" spans="1:24" x14ac:dyDescent="0.25">
      <c r="A69" s="253"/>
      <c r="B69" s="437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7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7"/>
      <c r="L70" s="253"/>
      <c r="M70" s="253"/>
    </row>
    <row r="71" spans="1:24" x14ac:dyDescent="0.25">
      <c r="A71" s="253"/>
      <c r="B71" s="437">
        <v>42782</v>
      </c>
      <c r="C71" s="7">
        <v>40</v>
      </c>
      <c r="D71" s="43">
        <v>57.85</v>
      </c>
      <c r="E71" s="43">
        <v>0</v>
      </c>
      <c r="F71" s="43">
        <f t="shared" ref="F71:F76" si="45">C71*D71+E71</f>
        <v>2314</v>
      </c>
      <c r="G71" s="437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3"/>
      <c r="B72" s="437">
        <v>42815</v>
      </c>
      <c r="C72" s="7">
        <v>40</v>
      </c>
      <c r="D72" s="43">
        <v>57.28</v>
      </c>
      <c r="E72" s="43">
        <v>0</v>
      </c>
      <c r="F72" s="43">
        <f t="shared" si="45"/>
        <v>2291.1999999999998</v>
      </c>
      <c r="G72" s="437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3"/>
      <c r="B73" s="437">
        <v>42836</v>
      </c>
      <c r="C73" s="7">
        <v>40</v>
      </c>
      <c r="D73" s="43">
        <v>53.6</v>
      </c>
      <c r="E73" s="43">
        <v>0</v>
      </c>
      <c r="F73" s="43">
        <f t="shared" si="45"/>
        <v>2144</v>
      </c>
      <c r="G73" s="437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3"/>
      <c r="B74" s="437">
        <v>42886</v>
      </c>
      <c r="C74" s="7">
        <v>80</v>
      </c>
      <c r="D74" s="43">
        <v>50.88</v>
      </c>
      <c r="E74" s="43">
        <v>0</v>
      </c>
      <c r="F74" s="43">
        <f t="shared" si="45"/>
        <v>4070.4</v>
      </c>
      <c r="G74" s="437">
        <v>43006</v>
      </c>
      <c r="H74" s="73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3"/>
      <c r="B75" s="437">
        <v>42944</v>
      </c>
      <c r="C75" s="7">
        <v>40</v>
      </c>
      <c r="D75" s="43">
        <v>53.37</v>
      </c>
      <c r="E75" s="43">
        <v>-0.1</v>
      </c>
      <c r="F75" s="43">
        <f t="shared" si="45"/>
        <v>2134.6999999999998</v>
      </c>
      <c r="G75" s="437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3"/>
      <c r="B76" s="437">
        <v>42951</v>
      </c>
      <c r="C76" s="7">
        <v>80</v>
      </c>
      <c r="D76" s="43">
        <v>52.61</v>
      </c>
      <c r="E76" s="43">
        <v>0</v>
      </c>
      <c r="F76" s="43">
        <f t="shared" si="45"/>
        <v>4208.8</v>
      </c>
      <c r="G76" s="72"/>
      <c r="H76" s="179"/>
      <c r="I76" s="3"/>
      <c r="J76" s="3"/>
      <c r="K76" s="73"/>
      <c r="L76" s="4"/>
      <c r="M76" s="4"/>
    </row>
    <row r="77" spans="1:24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7"/>
      <c r="L77" s="253"/>
      <c r="M77" s="253"/>
    </row>
    <row r="78" spans="1:24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7"/>
      <c r="L78" s="253"/>
      <c r="M78" s="253"/>
    </row>
    <row r="79" spans="1:24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7"/>
      <c r="L79" s="253"/>
      <c r="M79" s="253"/>
    </row>
    <row r="80" spans="1:24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7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7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7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7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7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7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7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7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7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7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2" t="s">
        <v>194</v>
      </c>
      <c r="B92" s="443"/>
      <c r="C92" s="444">
        <f>SumByColor($A$19,C52:C90)</f>
        <v>480</v>
      </c>
      <c r="D92" s="444"/>
      <c r="E92" s="444"/>
      <c r="F92" s="445">
        <f>SumByColor($A$19,F52:F90)</f>
        <v>25980</v>
      </c>
      <c r="G92" s="444"/>
      <c r="H92" s="444">
        <f>SumByColor($A$19,H52:H90)</f>
        <v>480</v>
      </c>
      <c r="I92" s="444"/>
      <c r="J92" s="444"/>
      <c r="K92" s="445">
        <f>SumByColor($A$19,K52:K90)</f>
        <v>26619</v>
      </c>
      <c r="L92" s="444"/>
      <c r="M92" s="445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0" priority="55">
      <formula>Q8&gt;0</formula>
    </cfRule>
    <cfRule type="expression" dxfId="639" priority="56">
      <formula>Q8&lt;0</formula>
    </cfRule>
  </conditionalFormatting>
  <conditionalFormatting sqref="Q7">
    <cfRule type="expression" dxfId="638" priority="57">
      <formula>Q7&gt;0</formula>
    </cfRule>
    <cfRule type="expression" dxfId="637" priority="58">
      <formula>Q7&lt;0</formula>
    </cfRule>
  </conditionalFormatting>
  <conditionalFormatting sqref="M50">
    <cfRule type="expression" dxfId="636" priority="45">
      <formula>M50&gt;0</formula>
    </cfRule>
    <cfRule type="expression" dxfId="635" priority="46">
      <formula>M50&lt;0</formula>
    </cfRule>
  </conditionalFormatting>
  <conditionalFormatting sqref="M50">
    <cfRule type="expression" dxfId="634" priority="47">
      <formula>M50&gt;0</formula>
    </cfRule>
    <cfRule type="expression" dxfId="633" priority="48">
      <formula>M50&lt;0</formula>
    </cfRule>
  </conditionalFormatting>
  <conditionalFormatting sqref="F24:F37">
    <cfRule type="expression" dxfId="632" priority="33">
      <formula>F24&gt;0</formula>
    </cfRule>
    <cfRule type="expression" dxfId="631" priority="34">
      <formula>F24&lt;0</formula>
    </cfRule>
  </conditionalFormatting>
  <conditionalFormatting sqref="F24:F37">
    <cfRule type="expression" dxfId="630" priority="35">
      <formula>F24&gt;0</formula>
    </cfRule>
    <cfRule type="expression" dxfId="629" priority="36">
      <formula>F24&lt;0</formula>
    </cfRule>
  </conditionalFormatting>
  <conditionalFormatting sqref="H24:H37">
    <cfRule type="expression" dxfId="628" priority="31">
      <formula>H24&gt;0</formula>
    </cfRule>
    <cfRule type="expression" dxfId="627" priority="32">
      <formula>H24&lt;0</formula>
    </cfRule>
  </conditionalFormatting>
  <conditionalFormatting sqref="J27:J37">
    <cfRule type="expression" dxfId="626" priority="1">
      <formula>J27&gt;0</formula>
    </cfRule>
    <cfRule type="expression" dxfId="625" priority="2">
      <formula>J27&lt;0</formula>
    </cfRule>
  </conditionalFormatting>
  <conditionalFormatting sqref="J27:J37">
    <cfRule type="expression" dxfId="624" priority="3">
      <formula>J27&gt;0</formula>
    </cfRule>
    <cfRule type="expression" dxfId="623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78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5"/>
      <c r="B81" s="365"/>
      <c r="C81" s="365"/>
      <c r="D81" s="366"/>
      <c r="E81" s="366"/>
      <c r="F81" s="366"/>
      <c r="G81" s="365"/>
      <c r="H81" s="365"/>
      <c r="I81" s="366"/>
      <c r="J81" s="366"/>
      <c r="K81" s="366"/>
      <c r="L81" s="365"/>
      <c r="M81" s="365"/>
      <c r="N81" s="365"/>
    </row>
    <row r="82" spans="1:14" x14ac:dyDescent="0.25">
      <c r="A82" s="365"/>
      <c r="B82" s="364">
        <v>42545</v>
      </c>
      <c r="C82" s="365">
        <v>250</v>
      </c>
      <c r="D82" s="366">
        <v>9.36</v>
      </c>
      <c r="E82" s="366">
        <v>0</v>
      </c>
      <c r="F82" s="366">
        <f>D82*C82+E82</f>
        <v>2340</v>
      </c>
      <c r="G82" s="365">
        <v>42577</v>
      </c>
      <c r="H82" s="369">
        <v>150</v>
      </c>
      <c r="I82" s="366">
        <v>10.58</v>
      </c>
      <c r="J82" s="366">
        <v>0.03</v>
      </c>
      <c r="K82" s="366">
        <f>H82*I82-J82</f>
        <v>1586.97</v>
      </c>
      <c r="L82" s="365"/>
      <c r="M82" s="365"/>
      <c r="N82" s="365"/>
    </row>
    <row r="83" spans="1:14" x14ac:dyDescent="0.25">
      <c r="A83" s="365"/>
      <c r="B83" s="364"/>
      <c r="C83" s="365"/>
      <c r="D83" s="366"/>
      <c r="E83" s="366"/>
      <c r="F83" s="366"/>
      <c r="G83" s="365">
        <v>42577</v>
      </c>
      <c r="H83" s="369">
        <v>100</v>
      </c>
      <c r="I83" s="366">
        <v>10.65</v>
      </c>
      <c r="J83" s="366">
        <v>0.02</v>
      </c>
      <c r="K83" s="366">
        <f>H83*I83-J83</f>
        <v>1064.98</v>
      </c>
      <c r="L83" s="365"/>
      <c r="M83" s="365"/>
      <c r="N83" s="365"/>
    </row>
    <row r="84" spans="1:14" x14ac:dyDescent="0.25">
      <c r="A84" s="365"/>
      <c r="B84" s="365"/>
      <c r="C84" s="365"/>
      <c r="D84" s="366"/>
      <c r="E84" s="366"/>
      <c r="F84" s="366"/>
      <c r="G84" s="365"/>
      <c r="H84" s="365"/>
      <c r="I84" s="366"/>
      <c r="J84" s="366"/>
      <c r="K84" s="366"/>
      <c r="L84" s="365"/>
      <c r="M84" s="365"/>
      <c r="N84" s="36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5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5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5"/>
    </row>
    <row r="116" spans="1:14" x14ac:dyDescent="0.25">
      <c r="A116" s="365"/>
      <c r="B116" s="364"/>
      <c r="C116" s="365"/>
      <c r="D116" s="366"/>
      <c r="E116" s="366"/>
      <c r="F116" s="366"/>
      <c r="G116" s="366"/>
      <c r="H116" s="367"/>
      <c r="I116" s="366"/>
      <c r="J116" s="366"/>
      <c r="K116" s="366"/>
      <c r="L116" s="365"/>
      <c r="M116" s="365"/>
      <c r="N116" s="365"/>
    </row>
    <row r="117" spans="1:14" x14ac:dyDescent="0.25">
      <c r="A117" s="365"/>
      <c r="B117" s="364">
        <v>42545</v>
      </c>
      <c r="C117" s="365">
        <v>250</v>
      </c>
      <c r="D117" s="366">
        <v>9.36</v>
      </c>
      <c r="E117" s="366">
        <v>9.3800000000000008</v>
      </c>
      <c r="F117" s="366">
        <f t="shared" ref="F117:F127" si="12">C117*(E117-D117)</f>
        <v>5.0000000000003375</v>
      </c>
      <c r="G117" s="366">
        <f t="shared" ref="G117:G127" si="13">D117*C117</f>
        <v>2340</v>
      </c>
      <c r="H117" s="367">
        <f t="shared" ref="H117:H127" si="14">(E117-D117)/D117</f>
        <v>2.1367521367522809E-3</v>
      </c>
      <c r="I117" s="366"/>
      <c r="J117" s="366"/>
      <c r="K117" s="366"/>
      <c r="L117" s="365"/>
      <c r="M117" s="365"/>
      <c r="N117" s="365"/>
    </row>
    <row r="118" spans="1:14" x14ac:dyDescent="0.25">
      <c r="A118" s="365"/>
      <c r="B118" s="364">
        <v>42548</v>
      </c>
      <c r="C118" s="365">
        <v>250</v>
      </c>
      <c r="D118" s="366">
        <v>9.36</v>
      </c>
      <c r="E118" s="366">
        <v>9.1</v>
      </c>
      <c r="F118" s="366">
        <f t="shared" si="12"/>
        <v>-64.999999999999943</v>
      </c>
      <c r="G118" s="366">
        <f t="shared" si="13"/>
        <v>2340</v>
      </c>
      <c r="H118" s="367">
        <f t="shared" si="14"/>
        <v>-2.7777777777777755E-2</v>
      </c>
      <c r="I118" s="366"/>
      <c r="J118" s="366"/>
      <c r="K118" s="366"/>
      <c r="L118" s="365"/>
      <c r="M118" s="365"/>
      <c r="N118" s="365"/>
    </row>
    <row r="119" spans="1:14" x14ac:dyDescent="0.25">
      <c r="A119" s="365"/>
      <c r="B119" s="364">
        <v>42549</v>
      </c>
      <c r="C119" s="365">
        <v>250</v>
      </c>
      <c r="D119" s="366">
        <v>9.36</v>
      </c>
      <c r="E119" s="366">
        <v>9.33</v>
      </c>
      <c r="F119" s="366">
        <f t="shared" si="12"/>
        <v>-7.4999999999998401</v>
      </c>
      <c r="G119" s="366">
        <f t="shared" si="13"/>
        <v>2340</v>
      </c>
      <c r="H119" s="367">
        <f t="shared" si="14"/>
        <v>-3.2051282051281369E-3</v>
      </c>
      <c r="I119" s="366"/>
      <c r="J119" s="366"/>
      <c r="K119" s="366"/>
      <c r="L119" s="365"/>
      <c r="M119" s="365"/>
      <c r="N119" s="365"/>
    </row>
    <row r="120" spans="1:14" x14ac:dyDescent="0.25">
      <c r="A120" s="365"/>
      <c r="B120" s="364">
        <v>42550</v>
      </c>
      <c r="C120" s="365">
        <v>250</v>
      </c>
      <c r="D120" s="366">
        <v>9.36</v>
      </c>
      <c r="E120" s="366">
        <v>9.1</v>
      </c>
      <c r="F120" s="366">
        <f t="shared" si="12"/>
        <v>-64.999999999999943</v>
      </c>
      <c r="G120" s="366">
        <f t="shared" si="13"/>
        <v>2340</v>
      </c>
      <c r="H120" s="367">
        <f t="shared" si="14"/>
        <v>-2.7777777777777755E-2</v>
      </c>
      <c r="I120" s="366"/>
      <c r="J120" s="366"/>
      <c r="K120" s="366"/>
      <c r="L120" s="365"/>
      <c r="M120" s="365"/>
      <c r="N120" s="365"/>
    </row>
    <row r="121" spans="1:14" x14ac:dyDescent="0.25">
      <c r="A121" s="365"/>
      <c r="B121" s="364">
        <v>42552</v>
      </c>
      <c r="C121" s="365">
        <v>250</v>
      </c>
      <c r="D121" s="366">
        <v>9.36</v>
      </c>
      <c r="E121" s="366">
        <v>9.5500000000000007</v>
      </c>
      <c r="F121" s="366">
        <f t="shared" si="12"/>
        <v>47.50000000000032</v>
      </c>
      <c r="G121" s="366">
        <f t="shared" si="13"/>
        <v>2340</v>
      </c>
      <c r="H121" s="367">
        <f t="shared" si="14"/>
        <v>2.0299145299145439E-2</v>
      </c>
      <c r="I121" s="366"/>
      <c r="J121" s="366"/>
      <c r="K121" s="366"/>
      <c r="L121" s="365"/>
      <c r="M121" s="365"/>
      <c r="N121" s="365"/>
    </row>
    <row r="122" spans="1:14" x14ac:dyDescent="0.25">
      <c r="A122" s="365"/>
      <c r="B122" s="364">
        <v>42556</v>
      </c>
      <c r="C122" s="365">
        <v>250</v>
      </c>
      <c r="D122" s="366">
        <v>9.36</v>
      </c>
      <c r="E122" s="366">
        <v>9.26</v>
      </c>
      <c r="F122" s="366">
        <f t="shared" si="12"/>
        <v>-24.999999999999911</v>
      </c>
      <c r="G122" s="366">
        <f t="shared" si="13"/>
        <v>2340</v>
      </c>
      <c r="H122" s="367">
        <f t="shared" si="14"/>
        <v>-1.0683760683760646E-2</v>
      </c>
      <c r="I122" s="366"/>
      <c r="J122" s="366"/>
      <c r="K122" s="366"/>
      <c r="L122" s="365"/>
      <c r="M122" s="365"/>
      <c r="N122" s="365"/>
    </row>
    <row r="123" spans="1:14" x14ac:dyDescent="0.25">
      <c r="A123" s="365"/>
      <c r="B123" s="364">
        <v>42557</v>
      </c>
      <c r="C123" s="365">
        <v>250</v>
      </c>
      <c r="D123" s="366">
        <v>9.36</v>
      </c>
      <c r="E123" s="366">
        <v>9.19</v>
      </c>
      <c r="F123" s="366">
        <f t="shared" si="12"/>
        <v>-42.499999999999986</v>
      </c>
      <c r="G123" s="366">
        <f t="shared" si="13"/>
        <v>2340</v>
      </c>
      <c r="H123" s="367">
        <f t="shared" si="14"/>
        <v>-1.8162393162393157E-2</v>
      </c>
      <c r="I123" s="366"/>
      <c r="J123" s="366"/>
      <c r="K123" s="366"/>
      <c r="L123" s="365"/>
      <c r="M123" s="365"/>
      <c r="N123" s="365"/>
    </row>
    <row r="124" spans="1:14" x14ac:dyDescent="0.25">
      <c r="A124" s="365"/>
      <c r="B124" s="364">
        <v>42559</v>
      </c>
      <c r="C124" s="365">
        <v>250</v>
      </c>
      <c r="D124" s="366">
        <v>9.36</v>
      </c>
      <c r="E124" s="366">
        <v>9.82</v>
      </c>
      <c r="F124" s="366">
        <f t="shared" si="12"/>
        <v>115.00000000000021</v>
      </c>
      <c r="G124" s="366">
        <f t="shared" si="13"/>
        <v>2340</v>
      </c>
      <c r="H124" s="367">
        <f t="shared" si="14"/>
        <v>4.9145299145299241E-2</v>
      </c>
      <c r="I124" s="366"/>
      <c r="J124" s="366"/>
      <c r="K124" s="366"/>
      <c r="L124" s="365"/>
      <c r="M124" s="365"/>
      <c r="N124" s="365"/>
    </row>
    <row r="125" spans="1:14" x14ac:dyDescent="0.25">
      <c r="A125" s="365"/>
      <c r="B125" s="364">
        <v>42562</v>
      </c>
      <c r="C125" s="365">
        <v>250</v>
      </c>
      <c r="D125" s="366">
        <v>9.36</v>
      </c>
      <c r="E125" s="366">
        <v>10.14</v>
      </c>
      <c r="F125" s="366">
        <f t="shared" si="12"/>
        <v>195.00000000000028</v>
      </c>
      <c r="G125" s="366">
        <f t="shared" si="13"/>
        <v>2340</v>
      </c>
      <c r="H125" s="367">
        <f t="shared" si="14"/>
        <v>8.3333333333333454E-2</v>
      </c>
      <c r="I125" s="366" t="s">
        <v>232</v>
      </c>
      <c r="J125" s="366"/>
      <c r="K125" s="366"/>
      <c r="L125" s="365"/>
      <c r="M125" s="365"/>
      <c r="N125" s="365"/>
    </row>
    <row r="126" spans="1:14" x14ac:dyDescent="0.25">
      <c r="A126" s="365"/>
      <c r="B126" s="364">
        <v>42566</v>
      </c>
      <c r="C126" s="365">
        <v>250</v>
      </c>
      <c r="D126" s="366">
        <v>9.36</v>
      </c>
      <c r="E126" s="366">
        <v>10.92</v>
      </c>
      <c r="F126" s="366">
        <f t="shared" si="12"/>
        <v>390.00000000000011</v>
      </c>
      <c r="G126" s="366">
        <f t="shared" si="13"/>
        <v>2340</v>
      </c>
      <c r="H126" s="367">
        <f t="shared" si="14"/>
        <v>0.16666666666666674</v>
      </c>
      <c r="I126" s="446">
        <v>8.8000000000000007</v>
      </c>
      <c r="J126" s="366"/>
      <c r="K126" s="366"/>
      <c r="L126" s="365"/>
      <c r="M126" s="365"/>
      <c r="N126" s="365"/>
    </row>
    <row r="127" spans="1:14" x14ac:dyDescent="0.25">
      <c r="A127" s="365"/>
      <c r="B127" s="364">
        <v>42570</v>
      </c>
      <c r="C127" s="365">
        <v>250</v>
      </c>
      <c r="D127" s="366">
        <v>9.36</v>
      </c>
      <c r="E127" s="366">
        <v>10.63</v>
      </c>
      <c r="F127" s="366">
        <f t="shared" si="12"/>
        <v>317.50000000000034</v>
      </c>
      <c r="G127" s="366">
        <f t="shared" si="13"/>
        <v>2340</v>
      </c>
      <c r="H127" s="367">
        <f t="shared" si="14"/>
        <v>0.13568376068376084</v>
      </c>
      <c r="I127" s="366"/>
      <c r="J127" s="366"/>
      <c r="K127" s="366"/>
      <c r="L127" s="365"/>
      <c r="M127" s="365"/>
      <c r="N127" s="365"/>
    </row>
    <row r="128" spans="1:14" x14ac:dyDescent="0.25">
      <c r="A128" s="365"/>
      <c r="B128" s="364">
        <v>42577</v>
      </c>
      <c r="C128" s="365">
        <v>0</v>
      </c>
      <c r="D128" s="366"/>
      <c r="E128" s="366"/>
      <c r="F128" s="366">
        <v>311.95</v>
      </c>
      <c r="G128" s="366"/>
      <c r="H128" s="367"/>
      <c r="I128" s="366"/>
      <c r="J128" s="366"/>
      <c r="K128" s="366"/>
      <c r="L128" s="365"/>
      <c r="M128" s="365"/>
    </row>
    <row r="129" spans="1:13" x14ac:dyDescent="0.25">
      <c r="A129" s="365"/>
      <c r="B129" s="36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  <c r="M129" s="365"/>
    </row>
    <row r="130" spans="1:13" x14ac:dyDescent="0.25">
      <c r="A130" s="365"/>
      <c r="B130" s="36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  <c r="M130" s="365"/>
    </row>
  </sheetData>
  <mergeCells count="1">
    <mergeCell ref="P39:Q39"/>
  </mergeCells>
  <conditionalFormatting sqref="F22:F39 H22:H39">
    <cfRule type="expression" dxfId="622" priority="66">
      <formula>F22&gt;0</formula>
    </cfRule>
    <cfRule type="expression" dxfId="62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0" priority="53">
      <formula>F41&gt;0</formula>
    </cfRule>
    <cfRule type="expression" dxfId="619" priority="54">
      <formula>F41&lt;0</formula>
    </cfRule>
  </conditionalFormatting>
  <conditionalFormatting sqref="F41">
    <cfRule type="expression" dxfId="618" priority="57">
      <formula>F41&gt;0</formula>
    </cfRule>
    <cfRule type="expression" dxfId="617" priority="58">
      <formula>F41&lt;0</formula>
    </cfRule>
  </conditionalFormatting>
  <conditionalFormatting sqref="H41">
    <cfRule type="expression" dxfId="616" priority="35">
      <formula>H41&gt;0</formula>
    </cfRule>
    <cfRule type="expression" dxfId="615" priority="36">
      <formula>H41&lt;0</formula>
    </cfRule>
  </conditionalFormatting>
  <conditionalFormatting sqref="F89:F95">
    <cfRule type="expression" dxfId="614" priority="29">
      <formula>F89&gt;0</formula>
    </cfRule>
    <cfRule type="expression" dxfId="613" priority="30">
      <formula>F89&lt;0</formula>
    </cfRule>
  </conditionalFormatting>
  <conditionalFormatting sqref="F96:F110">
    <cfRule type="expression" dxfId="612" priority="25">
      <formula>F96&gt;0</formula>
    </cfRule>
    <cfRule type="expression" dxfId="611" priority="26">
      <formula>F96&lt;0</formula>
    </cfRule>
  </conditionalFormatting>
  <conditionalFormatting sqref="F96:F110">
    <cfRule type="expression" dxfId="610" priority="27">
      <formula>F96&gt;0</formula>
    </cfRule>
    <cfRule type="expression" dxfId="609" priority="28">
      <formula>F96&lt;0</formula>
    </cfRule>
  </conditionalFormatting>
  <conditionalFormatting sqref="H89:H100">
    <cfRule type="expression" dxfId="608" priority="23">
      <formula>H89&gt;0</formula>
    </cfRule>
    <cfRule type="expression" dxfId="607" priority="24">
      <formula>H89&lt;0</formula>
    </cfRule>
  </conditionalFormatting>
  <conditionalFormatting sqref="H101">
    <cfRule type="expression" dxfId="606" priority="21">
      <formula>H101&gt;0</formula>
    </cfRule>
    <cfRule type="expression" dxfId="605" priority="22">
      <formula>H101&lt;0</formula>
    </cfRule>
  </conditionalFormatting>
  <conditionalFormatting sqref="F111:F116">
    <cfRule type="expression" dxfId="604" priority="19">
      <formula>F111&gt;0</formula>
    </cfRule>
    <cfRule type="expression" dxfId="603" priority="20">
      <formula>F111&lt;0</formula>
    </cfRule>
  </conditionalFormatting>
  <conditionalFormatting sqref="H103:H116">
    <cfRule type="expression" dxfId="602" priority="17">
      <formula>H103&gt;0</formula>
    </cfRule>
    <cfRule type="expression" dxfId="601" priority="18">
      <formula>H103&lt;0</formula>
    </cfRule>
  </conditionalFormatting>
  <conditionalFormatting sqref="H102">
    <cfRule type="expression" dxfId="600" priority="15">
      <formula>H102&gt;0</formula>
    </cfRule>
    <cfRule type="expression" dxfId="599" priority="16">
      <formula>H102&lt;0</formula>
    </cfRule>
  </conditionalFormatting>
  <conditionalFormatting sqref="M42">
    <cfRule type="expression" dxfId="598" priority="13">
      <formula>M42&gt;0</formula>
    </cfRule>
    <cfRule type="expression" dxfId="597" priority="14">
      <formula>M42&lt;0</formula>
    </cfRule>
  </conditionalFormatting>
  <conditionalFormatting sqref="Q7">
    <cfRule type="expression" dxfId="596" priority="9">
      <formula>Q7&gt;0</formula>
    </cfRule>
    <cfRule type="expression" dxfId="595" priority="10">
      <formula>Q7&lt;0</formula>
    </cfRule>
  </conditionalFormatting>
  <conditionalFormatting sqref="Q8">
    <cfRule type="expression" dxfId="594" priority="7">
      <formula>Q8&gt;0</formula>
    </cfRule>
    <cfRule type="expression" dxfId="593" priority="8">
      <formula>Q8&lt;0</formula>
    </cfRule>
  </conditionalFormatting>
  <conditionalFormatting sqref="F117:F130 H117:H130">
    <cfRule type="expression" dxfId="592" priority="1">
      <formula>F117&gt;0</formula>
    </cfRule>
    <cfRule type="expression" dxfId="59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J64" sqref="J64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496">
        <v>3.8E-3</v>
      </c>
      <c r="T4" s="158">
        <v>42633</v>
      </c>
      <c r="U4" s="1" t="s">
        <v>272</v>
      </c>
      <c r="W4" s="134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W12" s="134"/>
    </row>
    <row r="13" spans="1:23" x14ac:dyDescent="0.25">
      <c r="F13" s="3"/>
      <c r="G13" s="480"/>
      <c r="H13" s="179"/>
      <c r="I13" s="3"/>
      <c r="J13" s="3"/>
      <c r="K13" s="3"/>
      <c r="L13" s="4"/>
      <c r="M13" s="4"/>
      <c r="W13" s="134"/>
    </row>
    <row r="14" spans="1:23" x14ac:dyDescent="0.25">
      <c r="G14" s="480"/>
      <c r="H14" s="179"/>
      <c r="I14" s="3"/>
      <c r="J14" s="3"/>
      <c r="K14" s="3"/>
      <c r="L14" s="4"/>
      <c r="M14" s="4"/>
      <c r="W14" s="13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0" t="s">
        <v>78</v>
      </c>
      <c r="P28" s="670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67"/>
      <c r="B42" s="566"/>
      <c r="C42" s="567"/>
      <c r="D42" s="568"/>
      <c r="E42" s="568"/>
      <c r="F42" s="568"/>
      <c r="G42" s="567"/>
      <c r="H42" s="567"/>
      <c r="I42" s="568"/>
      <c r="J42" s="568"/>
      <c r="K42" s="568"/>
      <c r="L42" s="567" t="s">
        <v>65</v>
      </c>
      <c r="M42" s="568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0" t="s">
        <v>1</v>
      </c>
      <c r="B43" s="709" t="s">
        <v>2</v>
      </c>
      <c r="C43" s="690" t="s">
        <v>4</v>
      </c>
      <c r="D43" s="691" t="s">
        <v>5</v>
      </c>
      <c r="E43" s="691" t="s">
        <v>94</v>
      </c>
      <c r="F43" s="691" t="s">
        <v>60</v>
      </c>
      <c r="G43" s="690" t="s">
        <v>3</v>
      </c>
      <c r="H43" s="690" t="s">
        <v>6</v>
      </c>
      <c r="I43" s="691" t="s">
        <v>7</v>
      </c>
      <c r="J43" s="691" t="s">
        <v>95</v>
      </c>
      <c r="K43" s="691" t="s">
        <v>61</v>
      </c>
      <c r="L43" s="690" t="s">
        <v>37</v>
      </c>
      <c r="M43" s="690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2" t="s">
        <v>224</v>
      </c>
      <c r="B44" s="566">
        <v>42545</v>
      </c>
      <c r="C44" s="567">
        <v>100</v>
      </c>
      <c r="D44" s="568">
        <v>25.25</v>
      </c>
      <c r="E44" s="568">
        <v>0</v>
      </c>
      <c r="F44" s="568">
        <f t="shared" ref="F44:F55" si="1">D44*C44+E44</f>
        <v>2525</v>
      </c>
      <c r="G44" s="566">
        <v>42577</v>
      </c>
      <c r="H44" s="569">
        <v>30</v>
      </c>
      <c r="I44" s="568">
        <v>25.81</v>
      </c>
      <c r="J44" s="568">
        <v>0.02</v>
      </c>
      <c r="K44" s="568">
        <f t="shared" ref="K44:K50" si="2">H44*I44-J44</f>
        <v>774.28</v>
      </c>
      <c r="L44" s="570">
        <v>42613</v>
      </c>
      <c r="M44" s="568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3" t="s">
        <v>71</v>
      </c>
      <c r="B45" s="566">
        <v>42580</v>
      </c>
      <c r="C45" s="567">
        <v>30</v>
      </c>
      <c r="D45" s="568">
        <v>23.78</v>
      </c>
      <c r="E45" s="568">
        <v>0</v>
      </c>
      <c r="F45" s="568">
        <f t="shared" si="1"/>
        <v>713.40000000000009</v>
      </c>
      <c r="G45" s="566">
        <v>42597</v>
      </c>
      <c r="H45" s="569">
        <v>70</v>
      </c>
      <c r="I45" s="568">
        <v>22.94</v>
      </c>
      <c r="J45" s="568">
        <v>0.38</v>
      </c>
      <c r="K45" s="568">
        <f t="shared" si="2"/>
        <v>1605.42</v>
      </c>
      <c r="L45" s="570">
        <v>42704</v>
      </c>
      <c r="M45" s="568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67"/>
      <c r="B46" s="566">
        <v>42586</v>
      </c>
      <c r="C46" s="567">
        <v>40</v>
      </c>
      <c r="D46" s="568">
        <v>22.65</v>
      </c>
      <c r="E46" s="568">
        <v>0</v>
      </c>
      <c r="F46" s="568">
        <f t="shared" si="1"/>
        <v>906</v>
      </c>
      <c r="G46" s="566">
        <v>42599</v>
      </c>
      <c r="H46" s="569">
        <v>30</v>
      </c>
      <c r="I46" s="568">
        <v>23.48</v>
      </c>
      <c r="J46" s="568">
        <v>0.02</v>
      </c>
      <c r="K46" s="568">
        <f t="shared" si="2"/>
        <v>704.38</v>
      </c>
      <c r="L46" s="567"/>
      <c r="M46" s="567"/>
      <c r="O46" s="81">
        <v>0.93</v>
      </c>
      <c r="P46" s="81">
        <f t="shared" si="0"/>
        <v>34.512300000000003</v>
      </c>
      <c r="W46" s="134"/>
    </row>
    <row r="47" spans="1:23" x14ac:dyDescent="0.25">
      <c r="A47" s="567"/>
      <c r="B47" s="566">
        <v>42586</v>
      </c>
      <c r="C47" s="567">
        <v>60</v>
      </c>
      <c r="D47" s="568">
        <v>22.65</v>
      </c>
      <c r="E47" s="568">
        <v>0</v>
      </c>
      <c r="F47" s="568">
        <f t="shared" si="1"/>
        <v>1359</v>
      </c>
      <c r="G47" s="566">
        <v>42621</v>
      </c>
      <c r="H47" s="569">
        <v>40</v>
      </c>
      <c r="I47" s="568">
        <v>26.28</v>
      </c>
      <c r="J47" s="568">
        <v>0.02</v>
      </c>
      <c r="K47" s="568">
        <f t="shared" si="2"/>
        <v>1051.18</v>
      </c>
      <c r="L47" s="567"/>
      <c r="M47" s="567"/>
      <c r="O47" s="81">
        <v>0.92</v>
      </c>
      <c r="P47" s="81">
        <f t="shared" si="0"/>
        <v>34.141199999999998</v>
      </c>
      <c r="W47" s="134"/>
    </row>
    <row r="48" spans="1:23" x14ac:dyDescent="0.25">
      <c r="A48" s="567"/>
      <c r="B48" s="566">
        <v>42586</v>
      </c>
      <c r="C48" s="567">
        <v>100</v>
      </c>
      <c r="D48" s="568">
        <v>20.92</v>
      </c>
      <c r="E48" s="568">
        <v>-0.5</v>
      </c>
      <c r="F48" s="568">
        <f t="shared" si="1"/>
        <v>2091.5</v>
      </c>
      <c r="G48" s="566">
        <v>42639</v>
      </c>
      <c r="H48" s="569">
        <v>100</v>
      </c>
      <c r="I48" s="568">
        <v>22.82</v>
      </c>
      <c r="J48" s="568">
        <v>0.05</v>
      </c>
      <c r="K48" s="568">
        <f t="shared" si="2"/>
        <v>2281.9499999999998</v>
      </c>
      <c r="L48" s="567"/>
      <c r="M48" s="567"/>
      <c r="O48" s="81">
        <v>0.91</v>
      </c>
      <c r="P48" s="81">
        <f t="shared" si="0"/>
        <v>33.770099999999999</v>
      </c>
      <c r="W48" s="134"/>
    </row>
    <row r="49" spans="1:23" x14ac:dyDescent="0.25">
      <c r="A49" s="567"/>
      <c r="B49" s="566">
        <v>42626</v>
      </c>
      <c r="C49" s="567">
        <v>40</v>
      </c>
      <c r="D49" s="568">
        <v>24.58</v>
      </c>
      <c r="E49" s="568">
        <v>0</v>
      </c>
      <c r="F49" s="568">
        <f t="shared" si="1"/>
        <v>983.19999999999993</v>
      </c>
      <c r="G49" s="566">
        <v>42643</v>
      </c>
      <c r="H49" s="569">
        <v>60</v>
      </c>
      <c r="I49" s="568">
        <v>24.72</v>
      </c>
      <c r="J49" s="568">
        <v>0.03</v>
      </c>
      <c r="K49" s="568">
        <f t="shared" si="2"/>
        <v>1483.1699999999998</v>
      </c>
      <c r="L49" s="567"/>
      <c r="M49" s="567"/>
      <c r="O49" s="81">
        <v>0.9</v>
      </c>
      <c r="P49" s="81">
        <f t="shared" si="0"/>
        <v>33.399000000000001</v>
      </c>
      <c r="W49" s="134"/>
    </row>
    <row r="50" spans="1:23" x14ac:dyDescent="0.25">
      <c r="A50" s="567"/>
      <c r="B50" s="566">
        <v>42639</v>
      </c>
      <c r="C50" s="567">
        <v>100</v>
      </c>
      <c r="D50" s="568">
        <v>22.28</v>
      </c>
      <c r="E50" s="568">
        <v>0</v>
      </c>
      <c r="F50" s="568">
        <f t="shared" si="1"/>
        <v>2228</v>
      </c>
      <c r="G50" s="566">
        <v>42663</v>
      </c>
      <c r="H50" s="569">
        <v>40</v>
      </c>
      <c r="I50" s="568">
        <v>24.78</v>
      </c>
      <c r="J50" s="568">
        <v>0.02</v>
      </c>
      <c r="K50" s="568">
        <f t="shared" si="2"/>
        <v>991.18000000000006</v>
      </c>
      <c r="L50" s="567"/>
      <c r="M50" s="567"/>
      <c r="W50" s="134"/>
    </row>
    <row r="51" spans="1:23" x14ac:dyDescent="0.25">
      <c r="A51" s="567"/>
      <c r="B51" s="566">
        <v>42643</v>
      </c>
      <c r="C51" s="567">
        <v>60</v>
      </c>
      <c r="D51" s="568">
        <v>24.3</v>
      </c>
      <c r="E51" s="568">
        <v>0</v>
      </c>
      <c r="F51" s="568">
        <f t="shared" si="1"/>
        <v>1458</v>
      </c>
      <c r="G51" s="566">
        <v>42675</v>
      </c>
      <c r="H51" s="569">
        <v>100</v>
      </c>
      <c r="I51" s="568">
        <v>24.75</v>
      </c>
      <c r="J51" s="568">
        <v>0.05</v>
      </c>
      <c r="K51" s="568">
        <f>H51*I51-J51</f>
        <v>2474.9499999999998</v>
      </c>
      <c r="L51" s="567"/>
      <c r="M51" s="567"/>
      <c r="W51" s="134"/>
    </row>
    <row r="52" spans="1:23" x14ac:dyDescent="0.25">
      <c r="A52" s="567"/>
      <c r="B52" s="566">
        <v>42655</v>
      </c>
      <c r="C52" s="567">
        <v>100</v>
      </c>
      <c r="D52" s="568">
        <v>22.56</v>
      </c>
      <c r="E52" s="568">
        <v>0</v>
      </c>
      <c r="F52" s="568">
        <f t="shared" si="1"/>
        <v>2256</v>
      </c>
      <c r="G52" s="566">
        <v>42677</v>
      </c>
      <c r="H52" s="569">
        <v>60</v>
      </c>
      <c r="I52" s="568">
        <v>23.16</v>
      </c>
      <c r="J52" s="568">
        <v>0.03</v>
      </c>
      <c r="K52" s="568">
        <f>H52*I52-J52</f>
        <v>1389.57</v>
      </c>
      <c r="L52" s="567"/>
      <c r="M52" s="567"/>
      <c r="W52" s="134"/>
    </row>
    <row r="53" spans="1:23" x14ac:dyDescent="0.25">
      <c r="A53" s="567"/>
      <c r="B53" s="566">
        <v>42674</v>
      </c>
      <c r="C53" s="567">
        <v>40</v>
      </c>
      <c r="D53" s="568">
        <v>24.16</v>
      </c>
      <c r="E53" s="568">
        <v>-0.1</v>
      </c>
      <c r="F53" s="568">
        <f t="shared" si="1"/>
        <v>966.3</v>
      </c>
      <c r="G53" s="566">
        <v>42688</v>
      </c>
      <c r="H53" s="569">
        <v>100</v>
      </c>
      <c r="I53" s="568">
        <v>28</v>
      </c>
      <c r="J53" s="568">
        <v>0.06</v>
      </c>
      <c r="K53" s="568">
        <f>H53*I53-J53</f>
        <v>2799.94</v>
      </c>
      <c r="L53" s="567"/>
      <c r="M53" s="567"/>
      <c r="W53" s="134"/>
    </row>
    <row r="54" spans="1:23" x14ac:dyDescent="0.25">
      <c r="A54" s="567"/>
      <c r="B54" s="566">
        <v>42675</v>
      </c>
      <c r="C54" s="567">
        <v>100</v>
      </c>
      <c r="D54" s="568">
        <v>24.53</v>
      </c>
      <c r="E54" s="568">
        <v>0</v>
      </c>
      <c r="F54" s="568">
        <f>D54*C54+E54</f>
        <v>2453</v>
      </c>
      <c r="G54" s="566">
        <v>42705</v>
      </c>
      <c r="H54" s="569">
        <v>40</v>
      </c>
      <c r="I54" s="568">
        <v>29.58</v>
      </c>
      <c r="J54" s="568">
        <v>0.03</v>
      </c>
      <c r="K54" s="568">
        <f>H54*I54-J54</f>
        <v>1183.1699999999998</v>
      </c>
      <c r="L54" s="567"/>
      <c r="M54" s="567"/>
      <c r="Q54" s="2"/>
      <c r="W54" s="134"/>
    </row>
    <row r="55" spans="1:23" ht="20.25" thickBot="1" x14ac:dyDescent="0.35">
      <c r="A55" s="567"/>
      <c r="B55" s="566">
        <v>42677</v>
      </c>
      <c r="C55" s="567">
        <v>100</v>
      </c>
      <c r="D55" s="568">
        <v>22.38</v>
      </c>
      <c r="E55" s="568">
        <v>0</v>
      </c>
      <c r="F55" s="568">
        <f t="shared" si="1"/>
        <v>2238</v>
      </c>
      <c r="G55" s="566">
        <v>42711</v>
      </c>
      <c r="H55" s="569">
        <v>200</v>
      </c>
      <c r="I55" s="568">
        <v>29.9</v>
      </c>
      <c r="J55" s="568">
        <v>0.13</v>
      </c>
      <c r="K55" s="568">
        <f>H55*I55-J55</f>
        <v>5979.87</v>
      </c>
      <c r="L55" s="567"/>
      <c r="M55" s="567"/>
      <c r="Q55" s="2"/>
      <c r="T55" s="89" t="s">
        <v>112</v>
      </c>
      <c r="W55" s="134"/>
    </row>
    <row r="56" spans="1:23" ht="15.75" thickTop="1" x14ac:dyDescent="0.25">
      <c r="A56" s="567"/>
      <c r="B56" s="566"/>
      <c r="C56" s="567"/>
      <c r="D56" s="568"/>
      <c r="E56" s="568"/>
      <c r="F56" s="568"/>
      <c r="G56" s="566"/>
      <c r="H56" s="569"/>
      <c r="I56" s="568"/>
      <c r="J56" s="568"/>
      <c r="K56" s="568"/>
      <c r="L56" s="567"/>
      <c r="M56" s="567"/>
      <c r="Q56" s="2"/>
      <c r="T56" s="125" t="s">
        <v>97</v>
      </c>
      <c r="U56" s="126">
        <v>29.23</v>
      </c>
      <c r="W56" s="134"/>
    </row>
    <row r="57" spans="1:23" x14ac:dyDescent="0.25">
      <c r="A57" s="567"/>
      <c r="B57" s="566">
        <v>42716</v>
      </c>
      <c r="C57" s="567">
        <v>100</v>
      </c>
      <c r="D57" s="568">
        <v>29.49</v>
      </c>
      <c r="E57" s="568">
        <v>0</v>
      </c>
      <c r="F57" s="568">
        <f>D57*C57+E57</f>
        <v>2949</v>
      </c>
      <c r="G57" s="566">
        <v>42720</v>
      </c>
      <c r="H57" s="569">
        <v>100</v>
      </c>
      <c r="I57" s="568">
        <v>29.36</v>
      </c>
      <c r="J57" s="568">
        <v>0.06</v>
      </c>
      <c r="K57" s="568">
        <f>I57*H57-J57</f>
        <v>2935.94</v>
      </c>
      <c r="L57" s="570"/>
      <c r="M57" s="568"/>
      <c r="Q57" s="2"/>
      <c r="T57" s="91" t="s">
        <v>98</v>
      </c>
      <c r="U57" s="127">
        <v>29.39</v>
      </c>
      <c r="W57" s="134"/>
    </row>
    <row r="58" spans="1:23" x14ac:dyDescent="0.25">
      <c r="A58" s="567"/>
      <c r="B58" s="566">
        <v>42716</v>
      </c>
      <c r="C58" s="567">
        <v>100</v>
      </c>
      <c r="D58" s="568">
        <v>29.08</v>
      </c>
      <c r="E58" s="568">
        <v>0</v>
      </c>
      <c r="F58" s="568">
        <f>D58*C58+E58</f>
        <v>2908</v>
      </c>
      <c r="G58" s="566">
        <v>42724</v>
      </c>
      <c r="H58" s="569">
        <v>100</v>
      </c>
      <c r="I58" s="568">
        <v>28.98</v>
      </c>
      <c r="J58" s="568">
        <v>0.06</v>
      </c>
      <c r="K58" s="568">
        <f>I58*H58-J58</f>
        <v>2897.94</v>
      </c>
      <c r="L58" s="570"/>
      <c r="M58" s="568"/>
      <c r="Q58" s="2"/>
      <c r="T58" s="91" t="s">
        <v>99</v>
      </c>
      <c r="U58" s="127" t="s">
        <v>128</v>
      </c>
      <c r="W58" s="134"/>
    </row>
    <row r="59" spans="1:23" x14ac:dyDescent="0.25">
      <c r="A59" s="567"/>
      <c r="B59" s="566">
        <v>42723</v>
      </c>
      <c r="C59" s="567">
        <v>100</v>
      </c>
      <c r="D59" s="568">
        <v>28.28</v>
      </c>
      <c r="E59" s="568">
        <v>0</v>
      </c>
      <c r="F59" s="568">
        <f>D59*C59+E59</f>
        <v>2828</v>
      </c>
      <c r="G59" s="566">
        <v>42755</v>
      </c>
      <c r="H59" s="569">
        <v>100</v>
      </c>
      <c r="I59" s="568">
        <v>34.28</v>
      </c>
      <c r="J59" s="568">
        <v>7.0000000000000007E-2</v>
      </c>
      <c r="K59" s="568">
        <f>I59*H59-J59</f>
        <v>3427.93</v>
      </c>
      <c r="L59" s="567"/>
      <c r="M59" s="567"/>
      <c r="Q59" s="2"/>
      <c r="T59" s="91" t="s">
        <v>100</v>
      </c>
      <c r="U59" s="127" t="s">
        <v>128</v>
      </c>
      <c r="W59" s="134"/>
    </row>
    <row r="60" spans="1:23" x14ac:dyDescent="0.25">
      <c r="A60" s="567"/>
      <c r="B60" s="566"/>
      <c r="C60" s="567"/>
      <c r="D60" s="568"/>
      <c r="E60" s="568"/>
      <c r="F60" s="568"/>
      <c r="G60" s="566"/>
      <c r="H60" s="569"/>
      <c r="I60" s="568"/>
      <c r="J60" s="568"/>
      <c r="K60" s="568"/>
      <c r="L60" s="567"/>
      <c r="M60" s="567"/>
      <c r="Q60" s="2"/>
      <c r="T60" s="91" t="s">
        <v>101</v>
      </c>
      <c r="U60" s="127">
        <v>33.35</v>
      </c>
      <c r="W60" s="134"/>
    </row>
    <row r="61" spans="1:23" x14ac:dyDescent="0.25">
      <c r="A61" s="567"/>
      <c r="B61" s="566"/>
      <c r="C61" s="567"/>
      <c r="D61" s="568"/>
      <c r="E61" s="568"/>
      <c r="F61" s="568"/>
      <c r="G61" s="566"/>
      <c r="H61" s="569"/>
      <c r="I61" s="568"/>
      <c r="J61" s="568"/>
      <c r="K61" s="568"/>
      <c r="L61" s="567"/>
      <c r="M61" s="567"/>
      <c r="Q61" s="2"/>
      <c r="T61" s="91" t="s">
        <v>102</v>
      </c>
      <c r="U61" s="127">
        <v>0.84249399999999997</v>
      </c>
      <c r="W61" s="134"/>
    </row>
    <row r="62" spans="1:23" x14ac:dyDescent="0.25">
      <c r="A62" s="567"/>
      <c r="B62" s="566">
        <v>42755</v>
      </c>
      <c r="C62" s="567">
        <v>100</v>
      </c>
      <c r="D62" s="568">
        <v>33.58</v>
      </c>
      <c r="E62" s="568">
        <v>0</v>
      </c>
      <c r="F62" s="568">
        <f t="shared" ref="F62:F72" si="3">D62*C62+E62</f>
        <v>3358</v>
      </c>
      <c r="G62" s="566">
        <v>42811</v>
      </c>
      <c r="H62" s="569">
        <v>100</v>
      </c>
      <c r="I62" s="568">
        <v>29.38</v>
      </c>
      <c r="J62" s="568">
        <v>0.06</v>
      </c>
      <c r="K62" s="568">
        <f t="shared" ref="K62:K72" si="4">H62*I62-J62</f>
        <v>2937.94</v>
      </c>
      <c r="L62" s="570">
        <v>42794</v>
      </c>
      <c r="M62" s="568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7"/>
      <c r="B63" s="566">
        <v>42781</v>
      </c>
      <c r="C63" s="567">
        <v>50</v>
      </c>
      <c r="D63" s="568">
        <v>34.65</v>
      </c>
      <c r="E63" s="568">
        <v>0</v>
      </c>
      <c r="F63" s="568">
        <f t="shared" si="3"/>
        <v>1732.5</v>
      </c>
      <c r="G63" s="566">
        <v>42829</v>
      </c>
      <c r="H63" s="569">
        <v>100</v>
      </c>
      <c r="I63" s="568">
        <v>29.02</v>
      </c>
      <c r="J63" s="568">
        <v>0.06</v>
      </c>
      <c r="K63" s="568">
        <f t="shared" si="4"/>
        <v>2901.94</v>
      </c>
      <c r="L63" s="570">
        <v>42887</v>
      </c>
      <c r="M63" s="568">
        <v>75</v>
      </c>
      <c r="Q63" s="2"/>
      <c r="T63" s="91"/>
      <c r="U63" s="127"/>
      <c r="W63" s="134"/>
    </row>
    <row r="64" spans="1:23" x14ac:dyDescent="0.25">
      <c r="A64" s="567"/>
      <c r="B64" s="566">
        <v>42788</v>
      </c>
      <c r="C64" s="567">
        <v>50</v>
      </c>
      <c r="D64" s="568">
        <v>33.24</v>
      </c>
      <c r="E64" s="568">
        <v>0</v>
      </c>
      <c r="F64" s="568">
        <f t="shared" si="3"/>
        <v>1662</v>
      </c>
      <c r="G64" s="566">
        <v>42851</v>
      </c>
      <c r="H64" s="569">
        <v>100</v>
      </c>
      <c r="I64" s="568">
        <v>27.4</v>
      </c>
      <c r="J64" s="568">
        <v>0.06</v>
      </c>
      <c r="K64" s="568">
        <f t="shared" si="4"/>
        <v>2739.94</v>
      </c>
      <c r="L64" s="570">
        <v>42979</v>
      </c>
      <c r="M64" s="568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7"/>
      <c r="B65" s="566">
        <v>42789</v>
      </c>
      <c r="C65" s="567">
        <v>50</v>
      </c>
      <c r="D65" s="568">
        <v>31.68</v>
      </c>
      <c r="E65" s="568">
        <v>0</v>
      </c>
      <c r="F65" s="568">
        <f t="shared" si="3"/>
        <v>1584</v>
      </c>
      <c r="G65" s="566">
        <v>42860</v>
      </c>
      <c r="H65" s="569">
        <v>100</v>
      </c>
      <c r="I65" s="568">
        <v>27.58</v>
      </c>
      <c r="J65" s="568">
        <v>0.06</v>
      </c>
      <c r="K65" s="568">
        <f t="shared" si="4"/>
        <v>2757.94</v>
      </c>
      <c r="L65" s="567"/>
      <c r="M65" s="567"/>
      <c r="Q65" s="2"/>
      <c r="T65" s="91" t="s">
        <v>105</v>
      </c>
      <c r="U65" s="127" t="s">
        <v>478</v>
      </c>
      <c r="W65" s="134"/>
    </row>
    <row r="66" spans="1:23" x14ac:dyDescent="0.25">
      <c r="A66" s="567"/>
      <c r="B66" s="566">
        <v>42810</v>
      </c>
      <c r="C66" s="567">
        <v>100</v>
      </c>
      <c r="D66" s="568">
        <v>28.38</v>
      </c>
      <c r="E66" s="568">
        <v>0</v>
      </c>
      <c r="F66" s="568">
        <f t="shared" si="3"/>
        <v>2838</v>
      </c>
      <c r="G66" s="566">
        <v>42898</v>
      </c>
      <c r="H66" s="569">
        <v>100</v>
      </c>
      <c r="I66" s="568">
        <v>27.68</v>
      </c>
      <c r="J66" s="568">
        <v>0.06</v>
      </c>
      <c r="K66" s="568">
        <f t="shared" si="4"/>
        <v>2767.94</v>
      </c>
      <c r="L66" s="567"/>
      <c r="M66" s="567"/>
      <c r="Q66" s="2"/>
      <c r="T66" s="91" t="s">
        <v>106</v>
      </c>
      <c r="U66" s="128">
        <v>3892969</v>
      </c>
      <c r="W66" s="134"/>
    </row>
    <row r="67" spans="1:23" x14ac:dyDescent="0.25">
      <c r="A67" s="567"/>
      <c r="B67" s="566">
        <v>42828</v>
      </c>
      <c r="C67" s="567">
        <v>100</v>
      </c>
      <c r="D67" s="568">
        <v>28.36</v>
      </c>
      <c r="E67" s="568">
        <v>0</v>
      </c>
      <c r="F67" s="568">
        <f t="shared" si="3"/>
        <v>2836</v>
      </c>
      <c r="G67" s="566">
        <v>42936</v>
      </c>
      <c r="H67" s="569">
        <v>100</v>
      </c>
      <c r="I67" s="568">
        <v>31.14</v>
      </c>
      <c r="J67" s="568">
        <v>0.56999999999999995</v>
      </c>
      <c r="K67" s="568">
        <f t="shared" si="4"/>
        <v>3113.43</v>
      </c>
      <c r="L67" s="567"/>
      <c r="M67" s="567"/>
      <c r="T67" s="91" t="s">
        <v>109</v>
      </c>
      <c r="U67" s="128">
        <v>5373180</v>
      </c>
      <c r="W67" s="134"/>
    </row>
    <row r="68" spans="1:23" x14ac:dyDescent="0.25">
      <c r="A68" s="567"/>
      <c r="B68" s="566">
        <v>42846</v>
      </c>
      <c r="C68" s="567">
        <v>100</v>
      </c>
      <c r="D68" s="568">
        <v>26</v>
      </c>
      <c r="E68" s="568">
        <v>0</v>
      </c>
      <c r="F68" s="568">
        <f t="shared" si="3"/>
        <v>2600</v>
      </c>
      <c r="G68" s="566">
        <v>42950</v>
      </c>
      <c r="H68" s="569">
        <v>50</v>
      </c>
      <c r="I68" s="568">
        <v>30.38</v>
      </c>
      <c r="J68" s="568">
        <v>0.04</v>
      </c>
      <c r="K68" s="568">
        <f t="shared" si="4"/>
        <v>1518.96</v>
      </c>
      <c r="L68" s="567"/>
      <c r="M68" s="567"/>
      <c r="T68" s="91" t="s">
        <v>107</v>
      </c>
      <c r="U68" s="127" t="s">
        <v>637</v>
      </c>
      <c r="W68" s="134"/>
    </row>
    <row r="69" spans="1:23" x14ac:dyDescent="0.25">
      <c r="A69" s="567"/>
      <c r="B69" s="566">
        <v>42853</v>
      </c>
      <c r="C69" s="567">
        <v>100</v>
      </c>
      <c r="D69" s="568">
        <v>26.75</v>
      </c>
      <c r="E69" s="568">
        <v>-0.21</v>
      </c>
      <c r="F69" s="568">
        <f t="shared" si="3"/>
        <v>2674.79</v>
      </c>
      <c r="G69" s="566">
        <v>42951</v>
      </c>
      <c r="H69" s="569">
        <v>50</v>
      </c>
      <c r="I69" s="568">
        <v>31.38</v>
      </c>
      <c r="J69" s="568">
        <v>0.04</v>
      </c>
      <c r="K69" s="568">
        <f t="shared" si="4"/>
        <v>1568.96</v>
      </c>
      <c r="L69" s="567"/>
      <c r="M69" s="567"/>
      <c r="T69" s="91" t="s">
        <v>110</v>
      </c>
      <c r="U69" s="127" t="s">
        <v>128</v>
      </c>
      <c r="W69" s="134"/>
    </row>
    <row r="70" spans="1:23" x14ac:dyDescent="0.25">
      <c r="A70" s="567"/>
      <c r="B70" s="566">
        <v>42888</v>
      </c>
      <c r="C70" s="567">
        <v>100</v>
      </c>
      <c r="D70" s="568">
        <v>26.2</v>
      </c>
      <c r="E70" s="568">
        <v>0</v>
      </c>
      <c r="F70" s="568">
        <f t="shared" si="3"/>
        <v>2620</v>
      </c>
      <c r="G70" s="566">
        <v>42984</v>
      </c>
      <c r="H70" s="569">
        <v>100</v>
      </c>
      <c r="I70" s="568">
        <v>29.98</v>
      </c>
      <c r="J70" s="568">
        <v>7.0000000000000007E-2</v>
      </c>
      <c r="K70" s="568">
        <f t="shared" si="4"/>
        <v>2997.93</v>
      </c>
      <c r="L70" s="566"/>
      <c r="M70" s="567"/>
      <c r="T70" s="91" t="s">
        <v>111</v>
      </c>
      <c r="U70" s="127">
        <v>-1.19</v>
      </c>
    </row>
    <row r="71" spans="1:23" x14ac:dyDescent="0.25">
      <c r="A71" s="567"/>
      <c r="B71" s="566">
        <v>42940</v>
      </c>
      <c r="C71" s="567">
        <v>100</v>
      </c>
      <c r="D71" s="568">
        <v>30.29</v>
      </c>
      <c r="E71" s="568">
        <v>0</v>
      </c>
      <c r="F71" s="568">
        <f t="shared" si="3"/>
        <v>3029</v>
      </c>
      <c r="G71" s="566">
        <v>42984</v>
      </c>
      <c r="H71" s="569">
        <v>50</v>
      </c>
      <c r="I71" s="568">
        <v>30.78</v>
      </c>
      <c r="J71" s="568">
        <v>0.04</v>
      </c>
      <c r="K71" s="568">
        <f t="shared" si="4"/>
        <v>1538.96</v>
      </c>
      <c r="L71" s="567"/>
      <c r="M71" s="567"/>
      <c r="T71" s="91" t="s">
        <v>108</v>
      </c>
      <c r="U71" s="127" t="s">
        <v>553</v>
      </c>
    </row>
    <row r="72" spans="1:23" x14ac:dyDescent="0.25">
      <c r="A72" s="567"/>
      <c r="B72" s="566">
        <v>42942</v>
      </c>
      <c r="C72" s="567">
        <v>50</v>
      </c>
      <c r="D72" s="568">
        <v>28.79</v>
      </c>
      <c r="E72" s="568">
        <v>0</v>
      </c>
      <c r="F72" s="568">
        <f t="shared" si="3"/>
        <v>1439.5</v>
      </c>
      <c r="G72" s="566">
        <v>42984</v>
      </c>
      <c r="H72" s="569">
        <v>50</v>
      </c>
      <c r="I72" s="568">
        <v>31.28</v>
      </c>
      <c r="J72" s="568">
        <v>0.04</v>
      </c>
      <c r="K72" s="568">
        <f t="shared" si="4"/>
        <v>1563.96</v>
      </c>
      <c r="L72" s="567"/>
      <c r="M72" s="567"/>
    </row>
    <row r="73" spans="1:23" x14ac:dyDescent="0.25">
      <c r="A73" s="567"/>
      <c r="B73" s="566"/>
      <c r="C73" s="567"/>
      <c r="D73" s="568"/>
      <c r="E73" s="568"/>
      <c r="F73" s="568"/>
      <c r="G73" s="567"/>
      <c r="H73" s="567"/>
      <c r="I73" s="568"/>
      <c r="J73" s="568"/>
      <c r="K73" s="568"/>
      <c r="L73" s="567"/>
      <c r="M73" s="567"/>
    </row>
    <row r="74" spans="1:23" x14ac:dyDescent="0.25">
      <c r="A74" s="567"/>
      <c r="B74" s="47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7"/>
      <c r="M74" s="567"/>
    </row>
    <row r="75" spans="1:23" x14ac:dyDescent="0.25">
      <c r="A75" s="567"/>
      <c r="B75" s="48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7"/>
      <c r="M75" s="567"/>
    </row>
    <row r="76" spans="1:23" x14ac:dyDescent="0.25">
      <c r="A76" s="567"/>
      <c r="B76" s="566"/>
      <c r="C76" s="567"/>
      <c r="D76" s="568"/>
      <c r="E76" s="568"/>
      <c r="F76" s="568"/>
      <c r="G76" s="566"/>
      <c r="H76" s="569"/>
      <c r="I76" s="568"/>
      <c r="J76" s="568"/>
      <c r="K76" s="568"/>
      <c r="L76" s="567"/>
      <c r="M76" s="567"/>
    </row>
    <row r="77" spans="1:23" x14ac:dyDescent="0.25">
      <c r="A77" s="567"/>
      <c r="B77" s="566"/>
      <c r="C77" s="567"/>
      <c r="D77" s="568"/>
      <c r="E77" s="568"/>
      <c r="F77" s="568"/>
      <c r="G77" s="566"/>
      <c r="H77" s="569"/>
      <c r="I77" s="568"/>
      <c r="J77" s="568"/>
      <c r="K77" s="568"/>
      <c r="L77" s="567"/>
      <c r="M77" s="567"/>
      <c r="S77" t="s">
        <v>227</v>
      </c>
    </row>
    <row r="78" spans="1:23" x14ac:dyDescent="0.25">
      <c r="A78" s="567"/>
      <c r="B78" s="566"/>
      <c r="C78" s="567"/>
      <c r="D78" s="568"/>
      <c r="E78" s="568"/>
      <c r="F78" s="568"/>
      <c r="G78" s="566"/>
      <c r="H78" s="569"/>
      <c r="I78" s="568"/>
      <c r="J78" s="568"/>
      <c r="K78" s="568"/>
      <c r="L78" s="567"/>
      <c r="M78" s="567"/>
    </row>
    <row r="79" spans="1:23" x14ac:dyDescent="0.25">
      <c r="A79" s="567"/>
      <c r="B79" s="566"/>
      <c r="C79" s="567"/>
      <c r="D79" s="568"/>
      <c r="E79" s="568"/>
      <c r="F79" s="568"/>
      <c r="G79" s="566"/>
      <c r="H79" s="567"/>
      <c r="I79" s="568"/>
      <c r="J79" s="568"/>
      <c r="K79" s="568"/>
      <c r="L79" s="567"/>
      <c r="M79" s="567"/>
    </row>
    <row r="80" spans="1:23" x14ac:dyDescent="0.25">
      <c r="A80" s="694" t="s">
        <v>81</v>
      </c>
      <c r="B80" s="710"/>
      <c r="C80" s="695">
        <f>SUM(C44:C79)</f>
        <v>2220</v>
      </c>
      <c r="D80" s="696"/>
      <c r="E80" s="696"/>
      <c r="F80" s="696">
        <f>SUM(F44:F79)</f>
        <v>59686.19</v>
      </c>
      <c r="G80" s="695"/>
      <c r="H80" s="697">
        <f>SUM(H44:H79)</f>
        <v>2220</v>
      </c>
      <c r="I80" s="696"/>
      <c r="J80" s="696"/>
      <c r="K80" s="696">
        <f>SUM(K44:K79)</f>
        <v>63691.15</v>
      </c>
      <c r="L80" s="695"/>
      <c r="M80" s="696">
        <f>SUM(M44:M79)</f>
        <v>372</v>
      </c>
    </row>
    <row r="81" spans="1:13" ht="15.75" thickBot="1" x14ac:dyDescent="0.3">
      <c r="A81" s="698" t="s">
        <v>194</v>
      </c>
      <c r="B81" s="711"/>
      <c r="C81" s="699">
        <f>SumByColor($A$19,C44:C79)</f>
        <v>50</v>
      </c>
      <c r="D81" s="699"/>
      <c r="E81" s="699"/>
      <c r="F81" s="700">
        <f>SumByColor($A$19,F44:F79)</f>
        <v>1535</v>
      </c>
      <c r="G81" s="699"/>
      <c r="H81" s="699">
        <f>SumByColor($A$19,H44:H79)</f>
        <v>50</v>
      </c>
      <c r="I81" s="699"/>
      <c r="J81" s="699"/>
      <c r="K81" s="700">
        <f>SumByColor($A$19,K44:K79)</f>
        <v>1634</v>
      </c>
      <c r="L81" s="699"/>
      <c r="M81" s="700">
        <f>SumByColor($A$19,M44:M79)</f>
        <v>0</v>
      </c>
    </row>
    <row r="88" spans="1:13" x14ac:dyDescent="0.25">
      <c r="B88" s="483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510</v>
      </c>
    </row>
    <row r="89" spans="1:13" x14ac:dyDescent="0.25">
      <c r="B89" s="624"/>
      <c r="C89" s="365"/>
      <c r="D89" s="366"/>
      <c r="E89" s="366"/>
      <c r="F89" s="366"/>
      <c r="G89" s="365"/>
      <c r="H89" s="365"/>
      <c r="I89" s="366"/>
      <c r="J89" s="366"/>
    </row>
    <row r="90" spans="1:13" x14ac:dyDescent="0.25">
      <c r="B90" s="624">
        <v>42545</v>
      </c>
      <c r="C90" s="365">
        <v>100</v>
      </c>
      <c r="D90" s="366">
        <v>25.25</v>
      </c>
      <c r="E90" s="366">
        <v>25.43</v>
      </c>
      <c r="F90" s="366">
        <f t="shared" ref="F90:F151" si="5">C90*(E90-D90)</f>
        <v>17.999999999999972</v>
      </c>
      <c r="G90" s="366">
        <f t="shared" ref="G90:G151" si="6">D90*C90</f>
        <v>2525</v>
      </c>
      <c r="H90" s="367">
        <f t="shared" ref="H90:H151" si="7">(E90-D90)/D90</f>
        <v>7.1287128712871177E-3</v>
      </c>
      <c r="I90" s="366"/>
      <c r="J90" s="366"/>
    </row>
    <row r="91" spans="1:13" x14ac:dyDescent="0.25">
      <c r="B91" s="624">
        <v>42548</v>
      </c>
      <c r="C91" s="365">
        <v>100</v>
      </c>
      <c r="D91" s="366">
        <v>25.25</v>
      </c>
      <c r="E91" s="366">
        <v>23.48</v>
      </c>
      <c r="F91" s="366">
        <f t="shared" si="5"/>
        <v>-176.99999999999994</v>
      </c>
      <c r="G91" s="366">
        <f t="shared" si="6"/>
        <v>2525</v>
      </c>
      <c r="H91" s="367">
        <f t="shared" si="7"/>
        <v>-7.0099009900990078E-2</v>
      </c>
      <c r="I91" s="366"/>
      <c r="J91" s="366"/>
    </row>
    <row r="92" spans="1:13" x14ac:dyDescent="0.25">
      <c r="B92" s="624">
        <v>42549</v>
      </c>
      <c r="C92" s="365">
        <v>100</v>
      </c>
      <c r="D92" s="366">
        <v>25.25</v>
      </c>
      <c r="E92" s="366">
        <v>24.06</v>
      </c>
      <c r="F92" s="366">
        <f t="shared" si="5"/>
        <v>-119.00000000000013</v>
      </c>
      <c r="G92" s="366">
        <f t="shared" si="6"/>
        <v>2525</v>
      </c>
      <c r="H92" s="367">
        <f t="shared" si="7"/>
        <v>-4.7128712871287178E-2</v>
      </c>
      <c r="I92" s="366"/>
      <c r="J92" s="366"/>
    </row>
    <row r="93" spans="1:13" x14ac:dyDescent="0.25">
      <c r="B93" s="624">
        <v>42556</v>
      </c>
      <c r="C93" s="365">
        <v>100</v>
      </c>
      <c r="D93" s="366">
        <v>25.25</v>
      </c>
      <c r="E93" s="366">
        <v>23.54</v>
      </c>
      <c r="F93" s="366">
        <f t="shared" si="5"/>
        <v>-171.00000000000009</v>
      </c>
      <c r="G93" s="366">
        <f t="shared" si="6"/>
        <v>2525</v>
      </c>
      <c r="H93" s="367">
        <f t="shared" si="7"/>
        <v>-6.7722772277227755E-2</v>
      </c>
      <c r="I93" s="366"/>
      <c r="J93" s="366"/>
    </row>
    <row r="94" spans="1:13" x14ac:dyDescent="0.25">
      <c r="B94" s="624">
        <v>42557</v>
      </c>
      <c r="C94" s="365">
        <v>100</v>
      </c>
      <c r="D94" s="366">
        <v>25.25</v>
      </c>
      <c r="E94" s="366">
        <v>23.75</v>
      </c>
      <c r="F94" s="366">
        <f t="shared" si="5"/>
        <v>-150</v>
      </c>
      <c r="G94" s="366">
        <f t="shared" si="6"/>
        <v>2525</v>
      </c>
      <c r="H94" s="367">
        <f t="shared" si="7"/>
        <v>-5.9405940594059403E-2</v>
      </c>
      <c r="I94" s="366"/>
      <c r="J94" s="366"/>
    </row>
    <row r="95" spans="1:13" x14ac:dyDescent="0.25">
      <c r="B95" s="624">
        <v>42559</v>
      </c>
      <c r="C95" s="365">
        <v>100</v>
      </c>
      <c r="D95" s="366">
        <v>25.25</v>
      </c>
      <c r="E95" s="366">
        <v>24.86</v>
      </c>
      <c r="F95" s="366">
        <f t="shared" si="5"/>
        <v>-39.000000000000057</v>
      </c>
      <c r="G95" s="366">
        <f t="shared" si="6"/>
        <v>2525</v>
      </c>
      <c r="H95" s="367">
        <f t="shared" si="7"/>
        <v>-1.5445544554455468E-2</v>
      </c>
      <c r="I95" s="366"/>
      <c r="J95" s="366"/>
    </row>
    <row r="96" spans="1:13" x14ac:dyDescent="0.25">
      <c r="B96" s="624">
        <v>42562</v>
      </c>
      <c r="C96" s="365">
        <v>100</v>
      </c>
      <c r="D96" s="366">
        <v>25.25</v>
      </c>
      <c r="E96" s="366">
        <v>24.67</v>
      </c>
      <c r="F96" s="366">
        <f t="shared" si="5"/>
        <v>-57.999999999999829</v>
      </c>
      <c r="G96" s="366">
        <f t="shared" si="6"/>
        <v>2525</v>
      </c>
      <c r="H96" s="367">
        <f t="shared" si="7"/>
        <v>-2.2970297029702904E-2</v>
      </c>
      <c r="I96" s="366"/>
      <c r="J96" s="366"/>
    </row>
    <row r="97" spans="2:10" x14ac:dyDescent="0.25">
      <c r="B97" s="624">
        <v>42563</v>
      </c>
      <c r="C97" s="365">
        <v>100</v>
      </c>
      <c r="D97" s="366">
        <v>25.25</v>
      </c>
      <c r="E97" s="366">
        <v>26.03</v>
      </c>
      <c r="F97" s="366">
        <f t="shared" si="5"/>
        <v>78.000000000000114</v>
      </c>
      <c r="G97" s="366">
        <f t="shared" si="6"/>
        <v>2525</v>
      </c>
      <c r="H97" s="367">
        <f t="shared" si="7"/>
        <v>3.0891089108910936E-2</v>
      </c>
      <c r="I97" s="366"/>
      <c r="J97" s="366"/>
    </row>
    <row r="98" spans="2:10" x14ac:dyDescent="0.25">
      <c r="B98" s="624">
        <v>42569</v>
      </c>
      <c r="C98" s="365">
        <v>100</v>
      </c>
      <c r="D98" s="366">
        <v>25.25</v>
      </c>
      <c r="E98" s="366">
        <v>27.69</v>
      </c>
      <c r="F98" s="366">
        <f t="shared" si="5"/>
        <v>244.00000000000011</v>
      </c>
      <c r="G98" s="366">
        <f t="shared" si="6"/>
        <v>2525</v>
      </c>
      <c r="H98" s="367">
        <f t="shared" si="7"/>
        <v>9.6633663366336678E-2</v>
      </c>
      <c r="I98" s="446">
        <v>23</v>
      </c>
      <c r="J98" s="366"/>
    </row>
    <row r="99" spans="2:10" x14ac:dyDescent="0.25">
      <c r="B99" s="624">
        <v>42570</v>
      </c>
      <c r="C99" s="365">
        <v>100</v>
      </c>
      <c r="D99" s="366">
        <v>25.25</v>
      </c>
      <c r="E99" s="366">
        <v>26.55</v>
      </c>
      <c r="F99" s="366">
        <f t="shared" si="5"/>
        <v>130.00000000000006</v>
      </c>
      <c r="G99" s="366">
        <f t="shared" si="6"/>
        <v>2525</v>
      </c>
      <c r="H99" s="367">
        <f t="shared" si="7"/>
        <v>5.148514851485151E-2</v>
      </c>
      <c r="I99" s="366"/>
      <c r="J99" s="366"/>
    </row>
    <row r="100" spans="2:10" x14ac:dyDescent="0.25">
      <c r="B100" s="624">
        <v>42571</v>
      </c>
      <c r="C100" s="365">
        <v>100</v>
      </c>
      <c r="D100" s="366">
        <v>25.25</v>
      </c>
      <c r="E100" s="366">
        <v>26.61</v>
      </c>
      <c r="F100" s="366">
        <f t="shared" si="5"/>
        <v>135.99999999999994</v>
      </c>
      <c r="G100" s="366">
        <f t="shared" si="6"/>
        <v>2525</v>
      </c>
      <c r="H100" s="367">
        <f t="shared" si="7"/>
        <v>5.386138613861384E-2</v>
      </c>
      <c r="I100" s="366"/>
      <c r="J100" s="366"/>
    </row>
    <row r="101" spans="2:10" x14ac:dyDescent="0.25">
      <c r="B101" s="624">
        <v>42572</v>
      </c>
      <c r="C101" s="365">
        <v>100</v>
      </c>
      <c r="D101" s="366">
        <v>25.25</v>
      </c>
      <c r="E101" s="366">
        <v>26.29</v>
      </c>
      <c r="F101" s="366">
        <f t="shared" si="5"/>
        <v>103.99999999999991</v>
      </c>
      <c r="G101" s="366">
        <f t="shared" si="6"/>
        <v>2525</v>
      </c>
      <c r="H101" s="367">
        <f t="shared" si="7"/>
        <v>4.1188118811881155E-2</v>
      </c>
      <c r="I101" s="366"/>
      <c r="J101" s="366"/>
    </row>
    <row r="102" spans="2:10" x14ac:dyDescent="0.25">
      <c r="B102" s="624">
        <v>42575</v>
      </c>
      <c r="C102" s="365">
        <v>100</v>
      </c>
      <c r="D102" s="366">
        <v>25.25</v>
      </c>
      <c r="E102" s="366">
        <v>25.18</v>
      </c>
      <c r="F102" s="366">
        <f t="shared" si="5"/>
        <v>-7.0000000000000284</v>
      </c>
      <c r="G102" s="366">
        <f t="shared" si="6"/>
        <v>2525</v>
      </c>
      <c r="H102" s="367">
        <f t="shared" si="7"/>
        <v>-2.7722772277227834E-3</v>
      </c>
      <c r="I102" s="366"/>
      <c r="J102" s="366"/>
    </row>
    <row r="103" spans="2:10" x14ac:dyDescent="0.25">
      <c r="B103" s="624">
        <v>42576</v>
      </c>
      <c r="C103" s="365">
        <v>100</v>
      </c>
      <c r="D103" s="366">
        <v>25.25</v>
      </c>
      <c r="E103" s="366">
        <v>25.33</v>
      </c>
      <c r="F103" s="366">
        <f t="shared" si="5"/>
        <v>7.9999999999998295</v>
      </c>
      <c r="G103" s="366">
        <f t="shared" si="6"/>
        <v>2525</v>
      </c>
      <c r="H103" s="367">
        <f t="shared" si="7"/>
        <v>3.1683168316831009E-3</v>
      </c>
      <c r="I103" s="366"/>
      <c r="J103" s="366"/>
    </row>
    <row r="104" spans="2:10" x14ac:dyDescent="0.25">
      <c r="B104" s="624">
        <v>42577</v>
      </c>
      <c r="C104" s="365">
        <v>70</v>
      </c>
      <c r="D104" s="366">
        <v>25.010300000000001</v>
      </c>
      <c r="E104" s="366">
        <v>25.8</v>
      </c>
      <c r="F104" s="366">
        <f t="shared" si="5"/>
        <v>55.278999999999989</v>
      </c>
      <c r="G104" s="366">
        <f t="shared" si="6"/>
        <v>1750.721</v>
      </c>
      <c r="H104" s="367">
        <f t="shared" si="7"/>
        <v>3.1574991103665281E-2</v>
      </c>
      <c r="I104" s="366"/>
      <c r="J104" s="366"/>
    </row>
    <row r="105" spans="2:10" x14ac:dyDescent="0.25">
      <c r="B105" s="624">
        <v>42580</v>
      </c>
      <c r="C105" s="365">
        <v>100</v>
      </c>
      <c r="D105" s="366">
        <v>24.641200000000001</v>
      </c>
      <c r="E105" s="366">
        <v>24.68</v>
      </c>
      <c r="F105" s="366">
        <f t="shared" si="5"/>
        <v>3.8799999999998391</v>
      </c>
      <c r="G105" s="366">
        <f t="shared" si="6"/>
        <v>2464.1200000000003</v>
      </c>
      <c r="H105" s="367">
        <f t="shared" si="7"/>
        <v>1.5745986396765738E-3</v>
      </c>
      <c r="I105" s="366"/>
      <c r="J105" s="366"/>
    </row>
    <row r="106" spans="2:10" x14ac:dyDescent="0.25">
      <c r="B106" s="624">
        <v>42585</v>
      </c>
      <c r="C106" s="365">
        <v>100</v>
      </c>
      <c r="D106" s="366">
        <v>24.641200000000001</v>
      </c>
      <c r="E106" s="366">
        <v>24.49</v>
      </c>
      <c r="F106" s="366">
        <f t="shared" si="5"/>
        <v>-15.120000000000289</v>
      </c>
      <c r="G106" s="366">
        <f t="shared" si="6"/>
        <v>2464.1200000000003</v>
      </c>
      <c r="H106" s="367">
        <f t="shared" si="7"/>
        <v>-6.1360648020389787E-3</v>
      </c>
      <c r="I106" s="366"/>
      <c r="J106" s="366"/>
    </row>
    <row r="107" spans="2:10" x14ac:dyDescent="0.25">
      <c r="B107" s="624">
        <v>42586</v>
      </c>
      <c r="C107" s="365">
        <v>200</v>
      </c>
      <c r="D107" s="366">
        <v>23.6431</v>
      </c>
      <c r="E107" s="366">
        <v>21.43</v>
      </c>
      <c r="F107" s="366">
        <f t="shared" si="5"/>
        <v>-442.62000000000012</v>
      </c>
      <c r="G107" s="366">
        <f t="shared" si="6"/>
        <v>4728.62</v>
      </c>
      <c r="H107" s="367">
        <f t="shared" si="7"/>
        <v>-9.360447657033133E-2</v>
      </c>
      <c r="I107" s="366"/>
      <c r="J107" s="366"/>
    </row>
    <row r="108" spans="2:10" x14ac:dyDescent="0.25">
      <c r="B108" s="624">
        <v>42586</v>
      </c>
      <c r="C108" s="365">
        <v>300</v>
      </c>
      <c r="D108" s="366">
        <v>22.735399999999998</v>
      </c>
      <c r="E108" s="366">
        <v>21.43</v>
      </c>
      <c r="F108" s="366">
        <f t="shared" si="5"/>
        <v>-391.61999999999966</v>
      </c>
      <c r="G108" s="366">
        <f t="shared" si="6"/>
        <v>6820.62</v>
      </c>
      <c r="H108" s="367">
        <f t="shared" si="7"/>
        <v>-5.7417067656605945E-2</v>
      </c>
      <c r="I108" s="366"/>
      <c r="J108" s="366"/>
    </row>
    <row r="109" spans="2:10" x14ac:dyDescent="0.25">
      <c r="B109" s="624">
        <v>42591</v>
      </c>
      <c r="C109" s="365">
        <v>300</v>
      </c>
      <c r="D109" s="366">
        <v>22.735399999999998</v>
      </c>
      <c r="E109" s="366">
        <v>22.12</v>
      </c>
      <c r="F109" s="366">
        <f t="shared" si="5"/>
        <v>-184.61999999999927</v>
      </c>
      <c r="G109" s="366">
        <f t="shared" si="6"/>
        <v>6820.62</v>
      </c>
      <c r="H109" s="367">
        <f t="shared" si="7"/>
        <v>-2.7067920511624936E-2</v>
      </c>
      <c r="I109" s="366"/>
      <c r="J109" s="366"/>
    </row>
    <row r="110" spans="2:10" x14ac:dyDescent="0.25">
      <c r="B110" s="624">
        <v>42593</v>
      </c>
      <c r="C110" s="365">
        <v>300</v>
      </c>
      <c r="D110" s="366">
        <v>22.735399999999998</v>
      </c>
      <c r="E110" s="366">
        <v>21.57</v>
      </c>
      <c r="F110" s="366">
        <f t="shared" si="5"/>
        <v>-349.61999999999944</v>
      </c>
      <c r="G110" s="366">
        <f t="shared" si="6"/>
        <v>6820.62</v>
      </c>
      <c r="H110" s="367">
        <f t="shared" si="7"/>
        <v>-5.1259269685160515E-2</v>
      </c>
      <c r="I110" s="366"/>
      <c r="J110" s="366"/>
    </row>
    <row r="111" spans="2:10" x14ac:dyDescent="0.25">
      <c r="B111" s="624">
        <v>42597</v>
      </c>
      <c r="C111" s="365">
        <v>230</v>
      </c>
      <c r="D111" s="366">
        <v>22.674800000000001</v>
      </c>
      <c r="E111" s="366">
        <v>23.2</v>
      </c>
      <c r="F111" s="366">
        <f t="shared" si="5"/>
        <v>120.79599999999957</v>
      </c>
      <c r="G111" s="366">
        <f t="shared" si="6"/>
        <v>5215.2040000000006</v>
      </c>
      <c r="H111" s="367">
        <f t="shared" si="7"/>
        <v>2.3162277065288252E-2</v>
      </c>
      <c r="I111" s="366"/>
      <c r="J111" s="366"/>
    </row>
    <row r="112" spans="2:10" x14ac:dyDescent="0.25">
      <c r="B112" s="624">
        <v>42599</v>
      </c>
      <c r="C112" s="365">
        <v>200</v>
      </c>
      <c r="D112" s="366">
        <v>22.554099999999998</v>
      </c>
      <c r="E112" s="366">
        <v>23.31</v>
      </c>
      <c r="F112" s="366">
        <f t="shared" si="5"/>
        <v>151.18000000000009</v>
      </c>
      <c r="G112" s="366">
        <f t="shared" si="6"/>
        <v>4510.82</v>
      </c>
      <c r="H112" s="367">
        <f t="shared" si="7"/>
        <v>3.3514970670521123E-2</v>
      </c>
      <c r="I112" s="366">
        <v>22</v>
      </c>
      <c r="J112" s="366"/>
    </row>
    <row r="113" spans="2:10" x14ac:dyDescent="0.25">
      <c r="B113" s="624">
        <v>42600</v>
      </c>
      <c r="C113" s="365">
        <v>200</v>
      </c>
      <c r="D113" s="366">
        <v>22.554099999999998</v>
      </c>
      <c r="E113" s="366">
        <v>22.74</v>
      </c>
      <c r="F113" s="366">
        <f t="shared" si="5"/>
        <v>37.180000000000035</v>
      </c>
      <c r="G113" s="366">
        <f t="shared" si="6"/>
        <v>4510.82</v>
      </c>
      <c r="H113" s="367">
        <f t="shared" si="7"/>
        <v>8.2424038201480074E-3</v>
      </c>
      <c r="I113" s="366"/>
      <c r="J113" s="366"/>
    </row>
    <row r="114" spans="2:10" x14ac:dyDescent="0.25">
      <c r="B114" s="624">
        <v>42601</v>
      </c>
      <c r="C114" s="365">
        <v>200</v>
      </c>
      <c r="D114" s="366">
        <v>22.554099999999998</v>
      </c>
      <c r="E114" s="366">
        <v>23.02</v>
      </c>
      <c r="F114" s="366">
        <f t="shared" si="5"/>
        <v>93.180000000000263</v>
      </c>
      <c r="G114" s="366">
        <f t="shared" si="6"/>
        <v>4510.82</v>
      </c>
      <c r="H114" s="367">
        <f t="shared" si="7"/>
        <v>2.06569980624366E-2</v>
      </c>
      <c r="I114" s="366"/>
      <c r="J114" s="366"/>
    </row>
    <row r="115" spans="2:10" x14ac:dyDescent="0.25">
      <c r="B115" s="624">
        <v>42604</v>
      </c>
      <c r="C115" s="365">
        <v>200</v>
      </c>
      <c r="D115" s="366">
        <v>22.554099999999998</v>
      </c>
      <c r="E115" s="366">
        <v>23.69</v>
      </c>
      <c r="F115" s="366">
        <f t="shared" si="5"/>
        <v>227.1800000000006</v>
      </c>
      <c r="G115" s="366">
        <f t="shared" si="6"/>
        <v>4510.82</v>
      </c>
      <c r="H115" s="367">
        <f t="shared" si="7"/>
        <v>5.0363348570769975E-2</v>
      </c>
      <c r="I115" s="366"/>
      <c r="J115" s="366"/>
    </row>
    <row r="116" spans="2:10" x14ac:dyDescent="0.25">
      <c r="B116" s="624">
        <v>42605</v>
      </c>
      <c r="C116" s="365">
        <v>200</v>
      </c>
      <c r="D116" s="366">
        <v>22.554099999999998</v>
      </c>
      <c r="E116" s="366">
        <v>24.83</v>
      </c>
      <c r="F116" s="366">
        <f t="shared" si="5"/>
        <v>455.18</v>
      </c>
      <c r="G116" s="366">
        <f t="shared" si="6"/>
        <v>4510.82</v>
      </c>
      <c r="H116" s="367">
        <f t="shared" si="7"/>
        <v>0.10090848227151605</v>
      </c>
      <c r="I116" s="366"/>
      <c r="J116" s="366"/>
    </row>
    <row r="117" spans="2:10" x14ac:dyDescent="0.25">
      <c r="B117" s="624">
        <v>42606</v>
      </c>
      <c r="C117" s="365">
        <v>200</v>
      </c>
      <c r="D117" s="366">
        <v>22.554099999999998</v>
      </c>
      <c r="E117" s="366">
        <v>24.04</v>
      </c>
      <c r="F117" s="366">
        <f t="shared" si="5"/>
        <v>297.18000000000018</v>
      </c>
      <c r="G117" s="366">
        <f t="shared" si="6"/>
        <v>4510.82</v>
      </c>
      <c r="H117" s="367">
        <f t="shared" si="7"/>
        <v>6.588159137363056E-2</v>
      </c>
      <c r="I117" s="366"/>
      <c r="J117" s="366"/>
    </row>
    <row r="118" spans="2:10" x14ac:dyDescent="0.25">
      <c r="B118" s="624">
        <v>42607</v>
      </c>
      <c r="C118" s="365">
        <v>200</v>
      </c>
      <c r="D118" s="366">
        <v>22.554099999999998</v>
      </c>
      <c r="E118" s="366">
        <v>24.23</v>
      </c>
      <c r="F118" s="366">
        <f t="shared" si="5"/>
        <v>335.1800000000004</v>
      </c>
      <c r="G118" s="366">
        <f t="shared" si="6"/>
        <v>4510.82</v>
      </c>
      <c r="H118" s="367">
        <f t="shared" si="7"/>
        <v>7.4305780323754983E-2</v>
      </c>
      <c r="I118" s="366"/>
      <c r="J118" s="366"/>
    </row>
    <row r="119" spans="2:10" x14ac:dyDescent="0.25">
      <c r="B119" s="624">
        <v>42608</v>
      </c>
      <c r="C119" s="365">
        <v>200</v>
      </c>
      <c r="D119" s="366">
        <v>22.554099999999998</v>
      </c>
      <c r="E119" s="366">
        <v>23.98</v>
      </c>
      <c r="F119" s="366">
        <f t="shared" si="5"/>
        <v>285.1800000000004</v>
      </c>
      <c r="G119" s="366">
        <f t="shared" si="6"/>
        <v>4510.82</v>
      </c>
      <c r="H119" s="367">
        <f t="shared" si="7"/>
        <v>6.3221321178854498E-2</v>
      </c>
      <c r="I119" s="366"/>
      <c r="J119" s="366"/>
    </row>
    <row r="120" spans="2:10" x14ac:dyDescent="0.25">
      <c r="B120" s="624">
        <v>42611</v>
      </c>
      <c r="C120" s="365">
        <v>200</v>
      </c>
      <c r="D120" s="366">
        <v>22.554099999999998</v>
      </c>
      <c r="E120" s="366">
        <v>24.98</v>
      </c>
      <c r="F120" s="366">
        <f t="shared" si="5"/>
        <v>485.1800000000004</v>
      </c>
      <c r="G120" s="366">
        <f t="shared" si="6"/>
        <v>4510.82</v>
      </c>
      <c r="H120" s="367">
        <f t="shared" si="7"/>
        <v>0.10755915775845644</v>
      </c>
      <c r="I120" s="366"/>
      <c r="J120" s="366"/>
    </row>
    <row r="121" spans="2:10" x14ac:dyDescent="0.25">
      <c r="B121" s="624">
        <v>42612</v>
      </c>
      <c r="C121" s="365">
        <v>200</v>
      </c>
      <c r="D121" s="366">
        <v>22.554099999999998</v>
      </c>
      <c r="E121" s="366">
        <v>26.17</v>
      </c>
      <c r="F121" s="366">
        <f t="shared" si="5"/>
        <v>723.18000000000075</v>
      </c>
      <c r="G121" s="366">
        <f t="shared" si="6"/>
        <v>4510.82</v>
      </c>
      <c r="H121" s="367">
        <f t="shared" si="7"/>
        <v>0.16032118328818279</v>
      </c>
      <c r="I121" s="366"/>
      <c r="J121" s="366"/>
    </row>
    <row r="122" spans="2:10" x14ac:dyDescent="0.25">
      <c r="B122" s="624">
        <v>42614</v>
      </c>
      <c r="C122" s="365">
        <v>200</v>
      </c>
      <c r="D122" s="366">
        <v>22.104099999999999</v>
      </c>
      <c r="E122" s="366">
        <v>25.6</v>
      </c>
      <c r="F122" s="366">
        <f t="shared" si="5"/>
        <v>699.18000000000052</v>
      </c>
      <c r="G122" s="366">
        <f t="shared" si="6"/>
        <v>4420.82</v>
      </c>
      <c r="H122" s="367">
        <f t="shared" si="7"/>
        <v>0.15815617917038027</v>
      </c>
      <c r="I122" s="366" t="s">
        <v>185</v>
      </c>
      <c r="J122" s="366"/>
    </row>
    <row r="123" spans="2:10" x14ac:dyDescent="0.25">
      <c r="B123" s="624">
        <v>42615</v>
      </c>
      <c r="C123" s="365">
        <v>200</v>
      </c>
      <c r="D123" s="366">
        <v>22.104099999999999</v>
      </c>
      <c r="E123" s="366">
        <v>25.94</v>
      </c>
      <c r="F123" s="366">
        <f t="shared" si="5"/>
        <v>767.18000000000052</v>
      </c>
      <c r="G123" s="366">
        <f t="shared" si="6"/>
        <v>4420.82</v>
      </c>
      <c r="H123" s="367">
        <f t="shared" si="7"/>
        <v>0.17353794092498687</v>
      </c>
      <c r="I123" s="366"/>
      <c r="J123" s="366"/>
    </row>
    <row r="124" spans="2:10" x14ac:dyDescent="0.25">
      <c r="B124" s="624">
        <v>42619</v>
      </c>
      <c r="C124" s="365">
        <v>200</v>
      </c>
      <c r="D124" s="366">
        <v>22.104099999999999</v>
      </c>
      <c r="E124" s="366">
        <v>25.65</v>
      </c>
      <c r="F124" s="366">
        <f t="shared" si="5"/>
        <v>709.18</v>
      </c>
      <c r="G124" s="366">
        <f t="shared" si="6"/>
        <v>4420.82</v>
      </c>
      <c r="H124" s="367">
        <f t="shared" si="7"/>
        <v>0.1604182029578223</v>
      </c>
      <c r="I124" s="366"/>
      <c r="J124" s="366"/>
    </row>
    <row r="125" spans="2:10" x14ac:dyDescent="0.25">
      <c r="B125" s="624">
        <v>42620</v>
      </c>
      <c r="C125" s="365">
        <v>200</v>
      </c>
      <c r="D125" s="366">
        <v>22.1</v>
      </c>
      <c r="E125" s="366">
        <v>25.53</v>
      </c>
      <c r="F125" s="366">
        <f t="shared" si="5"/>
        <v>686</v>
      </c>
      <c r="G125" s="366">
        <f t="shared" si="6"/>
        <v>4420</v>
      </c>
      <c r="H125" s="367">
        <f t="shared" si="7"/>
        <v>0.15520361990950224</v>
      </c>
      <c r="I125" s="366"/>
      <c r="J125" s="366"/>
    </row>
    <row r="126" spans="2:10" x14ac:dyDescent="0.25">
      <c r="B126" s="624">
        <v>42621</v>
      </c>
      <c r="C126" s="365">
        <v>160</v>
      </c>
      <c r="D126" s="366">
        <v>21.060300000000002</v>
      </c>
      <c r="E126" s="366">
        <v>25.96</v>
      </c>
      <c r="F126" s="366">
        <f t="shared" si="5"/>
        <v>783.95199999999988</v>
      </c>
      <c r="G126" s="366">
        <f t="shared" si="6"/>
        <v>3369.6480000000001</v>
      </c>
      <c r="H126" s="367">
        <f t="shared" si="7"/>
        <v>0.23265100687074727</v>
      </c>
      <c r="I126" s="366"/>
      <c r="J126" s="366"/>
    </row>
    <row r="127" spans="2:10" x14ac:dyDescent="0.25">
      <c r="B127" s="624">
        <v>42622</v>
      </c>
      <c r="C127" s="365">
        <v>160</v>
      </c>
      <c r="D127" s="366">
        <v>21.060300000000002</v>
      </c>
      <c r="E127" s="366">
        <v>25</v>
      </c>
      <c r="F127" s="366">
        <f t="shared" si="5"/>
        <v>630.35199999999975</v>
      </c>
      <c r="G127" s="366">
        <f t="shared" si="6"/>
        <v>3369.6480000000001</v>
      </c>
      <c r="H127" s="367">
        <f t="shared" si="7"/>
        <v>0.18706761062283053</v>
      </c>
      <c r="I127" s="366"/>
      <c r="J127" s="366"/>
    </row>
    <row r="128" spans="2:10" x14ac:dyDescent="0.25">
      <c r="B128" s="624">
        <v>42625</v>
      </c>
      <c r="C128" s="365">
        <v>160</v>
      </c>
      <c r="D128" s="366">
        <v>21.060300000000002</v>
      </c>
      <c r="E128" s="366">
        <v>25.51</v>
      </c>
      <c r="F128" s="366">
        <f t="shared" si="5"/>
        <v>711.952</v>
      </c>
      <c r="G128" s="366">
        <f t="shared" si="6"/>
        <v>3369.6480000000001</v>
      </c>
      <c r="H128" s="367">
        <f t="shared" si="7"/>
        <v>0.21128378987953636</v>
      </c>
      <c r="I128" s="366"/>
      <c r="J128" s="366"/>
    </row>
    <row r="129" spans="2:10" x14ac:dyDescent="0.25">
      <c r="B129" s="624">
        <v>42626</v>
      </c>
      <c r="C129" s="365">
        <v>200</v>
      </c>
      <c r="D129" s="366">
        <v>21.764199999999999</v>
      </c>
      <c r="E129" s="366">
        <v>24.01</v>
      </c>
      <c r="F129" s="366">
        <f t="shared" si="5"/>
        <v>449.16000000000054</v>
      </c>
      <c r="G129" s="366">
        <f t="shared" si="6"/>
        <v>4352.84</v>
      </c>
      <c r="H129" s="367">
        <f t="shared" si="7"/>
        <v>0.10318780382462957</v>
      </c>
      <c r="I129" s="366" t="s">
        <v>284</v>
      </c>
      <c r="J129" s="366"/>
    </row>
    <row r="130" spans="2:10" x14ac:dyDescent="0.25">
      <c r="B130" s="624">
        <v>42632</v>
      </c>
      <c r="C130" s="365">
        <v>200</v>
      </c>
      <c r="D130" s="366">
        <v>21.764199999999999</v>
      </c>
      <c r="E130" s="366">
        <v>23.68</v>
      </c>
      <c r="F130" s="366">
        <f t="shared" si="5"/>
        <v>383.1600000000002</v>
      </c>
      <c r="G130" s="366">
        <f t="shared" si="6"/>
        <v>4352.84</v>
      </c>
      <c r="H130" s="367">
        <f t="shared" si="7"/>
        <v>8.8025289236452572E-2</v>
      </c>
      <c r="I130" s="366"/>
      <c r="J130" s="366"/>
    </row>
    <row r="131" spans="2:10" x14ac:dyDescent="0.25">
      <c r="B131" s="624">
        <v>42633</v>
      </c>
      <c r="C131" s="365">
        <v>200</v>
      </c>
      <c r="D131" s="366">
        <v>21.764199999999999</v>
      </c>
      <c r="E131" s="366">
        <v>23.3</v>
      </c>
      <c r="F131" s="366">
        <f t="shared" si="5"/>
        <v>307.16000000000037</v>
      </c>
      <c r="G131" s="366">
        <f t="shared" si="6"/>
        <v>4352.84</v>
      </c>
      <c r="H131" s="367">
        <f t="shared" si="7"/>
        <v>7.0565423953097381E-2</v>
      </c>
      <c r="I131" s="366"/>
      <c r="J131" s="366"/>
    </row>
    <row r="132" spans="2:10" x14ac:dyDescent="0.25">
      <c r="B132" s="624">
        <v>42634</v>
      </c>
      <c r="C132" s="365">
        <v>200</v>
      </c>
      <c r="D132" s="366">
        <v>21.764199999999999</v>
      </c>
      <c r="E132" s="366">
        <v>23.03</v>
      </c>
      <c r="F132" s="366">
        <f t="shared" si="5"/>
        <v>253.16000000000045</v>
      </c>
      <c r="G132" s="366">
        <f t="shared" si="6"/>
        <v>4352.84</v>
      </c>
      <c r="H132" s="367">
        <f t="shared" si="7"/>
        <v>5.8159730199134466E-2</v>
      </c>
      <c r="I132" s="366"/>
      <c r="J132" s="366"/>
    </row>
    <row r="133" spans="2:10" x14ac:dyDescent="0.25">
      <c r="B133" s="624">
        <v>42636</v>
      </c>
      <c r="C133" s="365">
        <v>200</v>
      </c>
      <c r="D133" s="366">
        <v>21.764199999999999</v>
      </c>
      <c r="E133" s="366">
        <v>22.63</v>
      </c>
      <c r="F133" s="366">
        <f t="shared" si="5"/>
        <v>173.16000000000003</v>
      </c>
      <c r="G133" s="366">
        <f t="shared" si="6"/>
        <v>4352.84</v>
      </c>
      <c r="H133" s="367">
        <f t="shared" si="7"/>
        <v>3.9780924637707805E-2</v>
      </c>
      <c r="I133" s="366"/>
      <c r="J133" s="366"/>
    </row>
    <row r="134" spans="2:10" x14ac:dyDescent="0.25">
      <c r="B134" s="624">
        <v>42639</v>
      </c>
      <c r="C134" s="365">
        <v>300</v>
      </c>
      <c r="D134" s="366">
        <v>21.936299999999999</v>
      </c>
      <c r="E134" s="366">
        <v>22.64</v>
      </c>
      <c r="F134" s="366">
        <f t="shared" si="5"/>
        <v>211.11000000000041</v>
      </c>
      <c r="G134" s="366">
        <f t="shared" si="6"/>
        <v>6580.8899999999994</v>
      </c>
      <c r="H134" s="367">
        <f t="shared" si="7"/>
        <v>3.2079247639756996E-2</v>
      </c>
      <c r="I134" s="366"/>
      <c r="J134" s="366"/>
    </row>
    <row r="135" spans="2:10" x14ac:dyDescent="0.25">
      <c r="B135" s="624">
        <v>42639</v>
      </c>
      <c r="C135" s="365">
        <v>200</v>
      </c>
      <c r="D135" s="366">
        <v>21.494499999999999</v>
      </c>
      <c r="E135" s="366">
        <v>22.64</v>
      </c>
      <c r="F135" s="366">
        <f t="shared" si="5"/>
        <v>229.10000000000039</v>
      </c>
      <c r="G135" s="366">
        <f t="shared" si="6"/>
        <v>4298.8999999999996</v>
      </c>
      <c r="H135" s="367">
        <f t="shared" si="7"/>
        <v>5.3292702784433321E-2</v>
      </c>
      <c r="I135" s="366" t="s">
        <v>285</v>
      </c>
      <c r="J135" s="366"/>
    </row>
    <row r="136" spans="2:10" x14ac:dyDescent="0.25">
      <c r="B136" s="624">
        <v>42640</v>
      </c>
      <c r="C136" s="365">
        <v>200</v>
      </c>
      <c r="D136" s="366">
        <v>21.494499999999999</v>
      </c>
      <c r="E136" s="366">
        <v>23.95</v>
      </c>
      <c r="F136" s="366">
        <f t="shared" si="5"/>
        <v>491.10000000000014</v>
      </c>
      <c r="G136" s="366">
        <f t="shared" si="6"/>
        <v>4298.8999999999996</v>
      </c>
      <c r="H136" s="367">
        <f t="shared" si="7"/>
        <v>0.11423852613459261</v>
      </c>
      <c r="I136" s="366"/>
      <c r="J136" s="366"/>
    </row>
    <row r="137" spans="2:10" x14ac:dyDescent="0.25">
      <c r="B137" s="624">
        <v>42643</v>
      </c>
      <c r="C137" s="365">
        <v>140</v>
      </c>
      <c r="D137" s="366">
        <v>20.112300000000001</v>
      </c>
      <c r="E137" s="366">
        <v>24.2</v>
      </c>
      <c r="F137" s="366">
        <f t="shared" si="5"/>
        <v>572.27799999999979</v>
      </c>
      <c r="G137" s="366">
        <f t="shared" si="6"/>
        <v>2815.7220000000002</v>
      </c>
      <c r="H137" s="367">
        <f t="shared" si="7"/>
        <v>0.2032437861408192</v>
      </c>
      <c r="I137" s="366"/>
      <c r="J137" s="366"/>
    </row>
    <row r="138" spans="2:10" x14ac:dyDescent="0.25">
      <c r="B138" s="624">
        <v>42643</v>
      </c>
      <c r="C138" s="365">
        <v>200</v>
      </c>
      <c r="D138" s="366">
        <v>21.368600000000001</v>
      </c>
      <c r="E138" s="366">
        <v>24.2</v>
      </c>
      <c r="F138" s="366">
        <f t="shared" si="5"/>
        <v>566.27999999999975</v>
      </c>
      <c r="G138" s="366">
        <f t="shared" si="6"/>
        <v>4273.72</v>
      </c>
      <c r="H138" s="367">
        <f t="shared" si="7"/>
        <v>0.13250283125707807</v>
      </c>
      <c r="I138" s="366" t="s">
        <v>285</v>
      </c>
      <c r="J138" s="366"/>
    </row>
    <row r="139" spans="2:10" x14ac:dyDescent="0.25">
      <c r="B139" s="624">
        <v>42648</v>
      </c>
      <c r="C139" s="365">
        <v>200</v>
      </c>
      <c r="D139" s="366">
        <v>21.368600000000001</v>
      </c>
      <c r="E139" s="366">
        <v>24.86</v>
      </c>
      <c r="F139" s="366">
        <f t="shared" si="5"/>
        <v>698.27999999999975</v>
      </c>
      <c r="G139" s="366">
        <f t="shared" si="6"/>
        <v>4273.72</v>
      </c>
      <c r="H139" s="367">
        <f t="shared" si="7"/>
        <v>0.16338927210954385</v>
      </c>
      <c r="I139" s="366"/>
      <c r="J139" s="366"/>
    </row>
    <row r="140" spans="2:10" x14ac:dyDescent="0.25">
      <c r="B140" s="624">
        <v>42649</v>
      </c>
      <c r="C140" s="365">
        <v>200</v>
      </c>
      <c r="D140" s="366">
        <v>21.368600000000001</v>
      </c>
      <c r="E140" s="366">
        <v>24.66</v>
      </c>
      <c r="F140" s="366">
        <f t="shared" si="5"/>
        <v>658.27999999999986</v>
      </c>
      <c r="G140" s="366">
        <f t="shared" si="6"/>
        <v>4273.72</v>
      </c>
      <c r="H140" s="367">
        <f t="shared" si="7"/>
        <v>0.15402974457849364</v>
      </c>
      <c r="I140" s="366"/>
      <c r="J140" s="366"/>
    </row>
    <row r="141" spans="2:10" x14ac:dyDescent="0.25">
      <c r="B141" s="624">
        <v>42650</v>
      </c>
      <c r="C141" s="365">
        <v>200</v>
      </c>
      <c r="D141" s="366">
        <v>21.368600000000001</v>
      </c>
      <c r="E141" s="366">
        <v>23.95</v>
      </c>
      <c r="F141" s="366">
        <f t="shared" si="5"/>
        <v>516.27999999999975</v>
      </c>
      <c r="G141" s="366">
        <f t="shared" si="6"/>
        <v>4273.72</v>
      </c>
      <c r="H141" s="367">
        <f t="shared" si="7"/>
        <v>0.12080342184326529</v>
      </c>
      <c r="I141" s="366"/>
      <c r="J141" s="366"/>
    </row>
    <row r="142" spans="2:10" x14ac:dyDescent="0.25">
      <c r="B142" s="624">
        <v>42661</v>
      </c>
      <c r="C142" s="365">
        <v>300</v>
      </c>
      <c r="D142" s="366">
        <v>21.765699999999999</v>
      </c>
      <c r="E142" s="366">
        <v>23.46</v>
      </c>
      <c r="F142" s="366">
        <f t="shared" si="5"/>
        <v>508.29000000000059</v>
      </c>
      <c r="G142" s="366">
        <f t="shared" si="6"/>
        <v>6529.71</v>
      </c>
      <c r="H142" s="367">
        <f t="shared" si="7"/>
        <v>7.7842660700092436E-2</v>
      </c>
      <c r="I142" s="366">
        <v>21.5</v>
      </c>
      <c r="J142" s="366"/>
    </row>
    <row r="143" spans="2:10" x14ac:dyDescent="0.25">
      <c r="B143" s="624">
        <v>42662</v>
      </c>
      <c r="C143" s="365">
        <v>300</v>
      </c>
      <c r="D143" s="366">
        <v>21.77</v>
      </c>
      <c r="E143" s="366">
        <v>24.15</v>
      </c>
      <c r="F143" s="366">
        <f t="shared" si="5"/>
        <v>713.99999999999966</v>
      </c>
      <c r="G143" s="366">
        <f t="shared" si="6"/>
        <v>6531</v>
      </c>
      <c r="H143" s="367">
        <f t="shared" si="7"/>
        <v>0.10932475884244369</v>
      </c>
      <c r="I143" s="366"/>
      <c r="J143" s="366"/>
    </row>
    <row r="144" spans="2:10" x14ac:dyDescent="0.25">
      <c r="B144" s="624">
        <v>42663</v>
      </c>
      <c r="C144" s="365">
        <v>260</v>
      </c>
      <c r="D144" s="366">
        <v>21.302099999999999</v>
      </c>
      <c r="E144" s="366">
        <v>24.98</v>
      </c>
      <c r="F144" s="366">
        <f t="shared" si="5"/>
        <v>956.25400000000025</v>
      </c>
      <c r="G144" s="366">
        <f t="shared" si="6"/>
        <v>5538.5460000000003</v>
      </c>
      <c r="H144" s="367">
        <f t="shared" si="7"/>
        <v>0.17265433924354881</v>
      </c>
      <c r="I144" s="366"/>
      <c r="J144" s="366"/>
    </row>
    <row r="145" spans="2:10" x14ac:dyDescent="0.25">
      <c r="B145" s="624">
        <v>42664</v>
      </c>
      <c r="C145" s="365">
        <v>260</v>
      </c>
      <c r="D145" s="366">
        <v>21.302099999999999</v>
      </c>
      <c r="E145" s="366">
        <v>25.92</v>
      </c>
      <c r="F145" s="366">
        <f t="shared" si="5"/>
        <v>1200.6540000000007</v>
      </c>
      <c r="G145" s="366">
        <f t="shared" si="6"/>
        <v>5538.5460000000003</v>
      </c>
      <c r="H145" s="367">
        <f t="shared" si="7"/>
        <v>0.21678144408297786</v>
      </c>
      <c r="I145" s="366"/>
      <c r="J145" s="366"/>
    </row>
    <row r="146" spans="2:10" x14ac:dyDescent="0.25">
      <c r="B146" s="624">
        <v>42667</v>
      </c>
      <c r="C146" s="365">
        <v>260</v>
      </c>
      <c r="D146" s="366">
        <v>21.302099999999999</v>
      </c>
      <c r="E146" s="366">
        <v>25.35</v>
      </c>
      <c r="F146" s="366">
        <f t="shared" si="5"/>
        <v>1052.4540000000006</v>
      </c>
      <c r="G146" s="366">
        <f t="shared" si="6"/>
        <v>5538.5460000000003</v>
      </c>
      <c r="H146" s="367">
        <f t="shared" si="7"/>
        <v>0.19002351880800494</v>
      </c>
      <c r="I146" s="366"/>
      <c r="J146" s="366"/>
    </row>
    <row r="147" spans="2:10" x14ac:dyDescent="0.25">
      <c r="B147" s="624">
        <v>42674</v>
      </c>
      <c r="C147" s="365">
        <v>300</v>
      </c>
      <c r="D147" s="366">
        <v>21.6828</v>
      </c>
      <c r="E147" s="366">
        <v>24.01</v>
      </c>
      <c r="F147" s="366">
        <f t="shared" si="5"/>
        <v>698.16000000000042</v>
      </c>
      <c r="G147" s="366">
        <f t="shared" si="6"/>
        <v>6504.84</v>
      </c>
      <c r="H147" s="367">
        <f t="shared" si="7"/>
        <v>0.10732931171250951</v>
      </c>
      <c r="I147" s="366">
        <v>21.5</v>
      </c>
      <c r="J147" s="366"/>
    </row>
    <row r="148" spans="2:10" x14ac:dyDescent="0.25">
      <c r="B148" s="624">
        <v>42675</v>
      </c>
      <c r="C148" s="365">
        <v>300</v>
      </c>
      <c r="D148" s="366">
        <v>21.6096</v>
      </c>
      <c r="E148" s="366">
        <v>24.89</v>
      </c>
      <c r="F148" s="366">
        <f t="shared" si="5"/>
        <v>984.12000000000012</v>
      </c>
      <c r="G148" s="366">
        <f t="shared" si="6"/>
        <v>6482.88</v>
      </c>
      <c r="H148" s="367">
        <f t="shared" si="7"/>
        <v>0.15180290241374206</v>
      </c>
      <c r="I148" s="366">
        <v>21.5</v>
      </c>
      <c r="J148" s="366"/>
    </row>
    <row r="149" spans="2:10" x14ac:dyDescent="0.25">
      <c r="B149" s="624">
        <v>42677</v>
      </c>
      <c r="C149" s="365">
        <v>340</v>
      </c>
      <c r="D149" s="366">
        <v>21.5627</v>
      </c>
      <c r="E149" s="366">
        <v>22.6</v>
      </c>
      <c r="F149" s="366">
        <f t="shared" si="5"/>
        <v>352.68200000000064</v>
      </c>
      <c r="G149" s="366">
        <f t="shared" si="6"/>
        <v>7331.3180000000002</v>
      </c>
      <c r="H149" s="367">
        <f t="shared" si="7"/>
        <v>4.8106220464042164E-2</v>
      </c>
      <c r="I149" s="366"/>
      <c r="J149" s="366"/>
    </row>
    <row r="150" spans="2:10" x14ac:dyDescent="0.25">
      <c r="B150" s="624">
        <v>42701</v>
      </c>
      <c r="C150" s="365">
        <v>240</v>
      </c>
      <c r="D150" s="366">
        <v>18.880800000000001</v>
      </c>
      <c r="E150" s="366">
        <v>28.55</v>
      </c>
      <c r="F150" s="366">
        <f t="shared" si="5"/>
        <v>2320.6080000000002</v>
      </c>
      <c r="G150" s="366">
        <f t="shared" si="6"/>
        <v>4531.3919999999998</v>
      </c>
      <c r="H150" s="367">
        <f t="shared" si="7"/>
        <v>0.51211813058768696</v>
      </c>
      <c r="I150" s="366"/>
      <c r="J150" s="366"/>
    </row>
    <row r="151" spans="2:10" x14ac:dyDescent="0.25">
      <c r="B151" s="624">
        <v>42705</v>
      </c>
      <c r="C151" s="365">
        <v>200</v>
      </c>
      <c r="D151" s="366">
        <v>16.231100000000001</v>
      </c>
      <c r="E151" s="366">
        <v>28.94</v>
      </c>
      <c r="F151" s="366">
        <f t="shared" si="5"/>
        <v>2541.7799999999997</v>
      </c>
      <c r="G151" s="366">
        <f t="shared" si="6"/>
        <v>3246.2200000000003</v>
      </c>
      <c r="H151" s="367">
        <f t="shared" si="7"/>
        <v>0.78299683940090314</v>
      </c>
      <c r="I151" s="366" t="s">
        <v>310</v>
      </c>
      <c r="J151" s="366"/>
    </row>
    <row r="152" spans="2:10" x14ac:dyDescent="0.25">
      <c r="B152" s="624">
        <v>42711</v>
      </c>
      <c r="C152" s="365">
        <v>0</v>
      </c>
      <c r="D152" s="366"/>
      <c r="E152" s="366"/>
      <c r="F152" s="366">
        <v>2733.66</v>
      </c>
      <c r="G152" s="366"/>
      <c r="H152" s="367"/>
      <c r="I152" s="366"/>
      <c r="J152" s="366"/>
    </row>
    <row r="153" spans="2:10" x14ac:dyDescent="0.25">
      <c r="B153" s="624"/>
      <c r="C153" s="365"/>
      <c r="D153" s="366"/>
      <c r="E153" s="366"/>
      <c r="F153" s="366"/>
      <c r="G153" s="366"/>
      <c r="H153" s="367"/>
      <c r="I153" s="366"/>
      <c r="J153" s="366"/>
    </row>
    <row r="154" spans="2:10" x14ac:dyDescent="0.25">
      <c r="B154" s="624">
        <v>42716</v>
      </c>
      <c r="C154" s="365">
        <v>200</v>
      </c>
      <c r="D154" s="366">
        <v>29.285</v>
      </c>
      <c r="E154" s="366">
        <v>29</v>
      </c>
      <c r="F154" s="366">
        <f t="shared" ref="F154:F161" si="8">C154*(E154-D154)</f>
        <v>-57.000000000000028</v>
      </c>
      <c r="G154" s="366">
        <f t="shared" ref="G154:G161" si="9">D154*C154</f>
        <v>5857</v>
      </c>
      <c r="H154" s="367">
        <f t="shared" ref="H154:H161" si="10">(E154-D154)/D154</f>
        <v>-9.7319446815776044E-3</v>
      </c>
      <c r="I154" s="366"/>
      <c r="J154" s="366"/>
    </row>
    <row r="155" spans="2:10" x14ac:dyDescent="0.25">
      <c r="B155" s="624">
        <v>42720</v>
      </c>
      <c r="C155" s="365">
        <v>100</v>
      </c>
      <c r="D155" s="366">
        <v>29.210599999999999</v>
      </c>
      <c r="E155" s="366">
        <v>29.48</v>
      </c>
      <c r="F155" s="366">
        <f t="shared" si="8"/>
        <v>26.940000000000097</v>
      </c>
      <c r="G155" s="366">
        <f t="shared" si="9"/>
        <v>2921.06</v>
      </c>
      <c r="H155" s="367">
        <f t="shared" si="10"/>
        <v>9.2226794382861358E-3</v>
      </c>
      <c r="I155" s="366"/>
      <c r="J155" s="366"/>
    </row>
    <row r="156" spans="2:10" x14ac:dyDescent="0.25">
      <c r="B156" s="624">
        <v>42723</v>
      </c>
      <c r="C156" s="365">
        <v>200</v>
      </c>
      <c r="D156" s="366">
        <v>28.7453</v>
      </c>
      <c r="E156" s="366">
        <v>28.29</v>
      </c>
      <c r="F156" s="366">
        <f t="shared" si="8"/>
        <v>-91.06000000000023</v>
      </c>
      <c r="G156" s="366">
        <f t="shared" si="9"/>
        <v>5749.06</v>
      </c>
      <c r="H156" s="367">
        <f t="shared" si="10"/>
        <v>-1.5839111089465101E-2</v>
      </c>
      <c r="I156" s="366"/>
      <c r="J156" s="366"/>
    </row>
    <row r="157" spans="2:10" x14ac:dyDescent="0.25">
      <c r="B157" s="624">
        <v>42724</v>
      </c>
      <c r="C157" s="365">
        <v>100</v>
      </c>
      <c r="D157" s="366">
        <v>28.511199999999999</v>
      </c>
      <c r="E157" s="366">
        <v>28.76</v>
      </c>
      <c r="F157" s="366">
        <f t="shared" si="8"/>
        <v>24.88000000000028</v>
      </c>
      <c r="G157" s="366">
        <f t="shared" si="9"/>
        <v>2851.12</v>
      </c>
      <c r="H157" s="367">
        <f t="shared" si="10"/>
        <v>8.7263952411684807E-3</v>
      </c>
      <c r="I157" s="366"/>
      <c r="J157" s="366"/>
    </row>
    <row r="158" spans="2:10" x14ac:dyDescent="0.25">
      <c r="B158" s="624">
        <v>42731</v>
      </c>
      <c r="C158" s="365">
        <v>100</v>
      </c>
      <c r="D158" s="366">
        <v>28.511199999999999</v>
      </c>
      <c r="E158" s="366">
        <v>31.95</v>
      </c>
      <c r="F158" s="366">
        <f t="shared" si="8"/>
        <v>343.88000000000005</v>
      </c>
      <c r="G158" s="366">
        <f t="shared" si="9"/>
        <v>2851.12</v>
      </c>
      <c r="H158" s="367">
        <f t="shared" si="10"/>
        <v>0.12061225062431608</v>
      </c>
      <c r="I158" s="366"/>
      <c r="J158" s="366"/>
    </row>
    <row r="159" spans="2:10" x14ac:dyDescent="0.25">
      <c r="B159" s="624">
        <v>42739</v>
      </c>
      <c r="C159" s="365">
        <v>100</v>
      </c>
      <c r="D159" s="366">
        <v>28.511199999999999</v>
      </c>
      <c r="E159" s="366">
        <v>33.04</v>
      </c>
      <c r="F159" s="366">
        <f t="shared" si="8"/>
        <v>452.88000000000005</v>
      </c>
      <c r="G159" s="366">
        <f t="shared" si="9"/>
        <v>2851.12</v>
      </c>
      <c r="H159" s="367">
        <f t="shared" si="10"/>
        <v>0.15884284070821295</v>
      </c>
      <c r="I159" s="366"/>
      <c r="J159" s="366"/>
    </row>
    <row r="160" spans="2:10" x14ac:dyDescent="0.25">
      <c r="B160" s="624">
        <v>42744</v>
      </c>
      <c r="C160" s="365">
        <v>100</v>
      </c>
      <c r="D160" s="366">
        <v>28.511199999999999</v>
      </c>
      <c r="E160" s="366">
        <v>33.770000000000003</v>
      </c>
      <c r="F160" s="366">
        <f t="shared" si="8"/>
        <v>525.88000000000045</v>
      </c>
      <c r="G160" s="366">
        <f t="shared" si="9"/>
        <v>2851.12</v>
      </c>
      <c r="H160" s="367">
        <f t="shared" si="10"/>
        <v>0.18444681388366693</v>
      </c>
      <c r="I160" s="366"/>
      <c r="J160" s="366"/>
    </row>
    <row r="161" spans="1:10" x14ac:dyDescent="0.25">
      <c r="B161" s="624">
        <v>42745</v>
      </c>
      <c r="C161" s="365">
        <v>100</v>
      </c>
      <c r="D161" s="366">
        <v>28.511199999999999</v>
      </c>
      <c r="E161" s="366">
        <v>32.729999999999997</v>
      </c>
      <c r="F161" s="366">
        <f t="shared" si="8"/>
        <v>421.87999999999982</v>
      </c>
      <c r="G161" s="366">
        <f t="shared" si="9"/>
        <v>2851.12</v>
      </c>
      <c r="H161" s="367">
        <f t="shared" si="10"/>
        <v>0.14796992059260916</v>
      </c>
      <c r="I161" s="366"/>
      <c r="J161" s="366"/>
    </row>
    <row r="162" spans="1:10" x14ac:dyDescent="0.25">
      <c r="B162" s="624"/>
      <c r="C162" s="365"/>
      <c r="D162" s="366"/>
      <c r="E162" s="366"/>
      <c r="F162" s="366"/>
      <c r="G162" s="365"/>
      <c r="H162" s="365"/>
      <c r="I162" s="366"/>
      <c r="J162" s="366"/>
    </row>
    <row r="163" spans="1:10" x14ac:dyDescent="0.25">
      <c r="B163" s="624"/>
      <c r="C163" s="365"/>
      <c r="D163" s="366"/>
      <c r="E163" s="366"/>
      <c r="F163" s="366"/>
      <c r="G163" s="365"/>
      <c r="H163" s="365"/>
      <c r="I163" s="366"/>
      <c r="J163" s="366"/>
    </row>
    <row r="164" spans="1:10" x14ac:dyDescent="0.25">
      <c r="B164" s="624"/>
      <c r="C164" s="365"/>
      <c r="D164" s="366"/>
      <c r="E164" s="366"/>
      <c r="F164" s="366"/>
      <c r="G164" s="365"/>
      <c r="H164" s="365"/>
      <c r="I164" s="366"/>
      <c r="J164" s="366"/>
    </row>
    <row r="165" spans="1:10" x14ac:dyDescent="0.25">
      <c r="B165" s="624"/>
      <c r="C165" s="365"/>
      <c r="D165" s="366"/>
      <c r="E165" s="366"/>
      <c r="F165" s="366"/>
      <c r="G165" s="365"/>
      <c r="H165" s="365"/>
      <c r="I165" s="366"/>
      <c r="J165" s="366"/>
    </row>
    <row r="166" spans="1:10" x14ac:dyDescent="0.25">
      <c r="B166" s="483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6">
        <v>350</v>
      </c>
      <c r="D175" s="62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6">
        <v>350</v>
      </c>
      <c r="D181" s="62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6">
        <v>350</v>
      </c>
      <c r="D183" s="62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719</v>
      </c>
      <c r="J193" s="39">
        <v>3384</v>
      </c>
    </row>
    <row r="194" spans="1:10" x14ac:dyDescent="0.25">
      <c r="A194">
        <v>200</v>
      </c>
      <c r="B194" s="152">
        <v>42983</v>
      </c>
      <c r="C194" s="556">
        <v>350</v>
      </c>
      <c r="D194" s="62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0" priority="84">
      <formula>F7&gt;0</formula>
    </cfRule>
    <cfRule type="expression" dxfId="589" priority="85">
      <formula>F7&lt;0</formula>
    </cfRule>
  </conditionalFormatting>
  <conditionalFormatting sqref="Q8">
    <cfRule type="expression" dxfId="588" priority="82">
      <formula>Q8&gt;0</formula>
    </cfRule>
    <cfRule type="expression" dxfId="587" priority="83">
      <formula>Q8&lt;0</formula>
    </cfRule>
  </conditionalFormatting>
  <conditionalFormatting sqref="F29:F36">
    <cfRule type="expression" dxfId="586" priority="62">
      <formula>F29&gt;0</formula>
    </cfRule>
    <cfRule type="expression" dxfId="585" priority="63">
      <formula>F29&lt;0</formula>
    </cfRule>
  </conditionalFormatting>
  <conditionalFormatting sqref="J32:J38">
    <cfRule type="expression" dxfId="584" priority="57">
      <formula>J32&gt;0</formula>
    </cfRule>
    <cfRule type="expression" dxfId="583" priority="58">
      <formula>J32&lt;0</formula>
    </cfRule>
  </conditionalFormatting>
  <conditionalFormatting sqref="M42">
    <cfRule type="expression" dxfId="582" priority="55">
      <formula>M42&gt;0</formula>
    </cfRule>
    <cfRule type="expression" dxfId="581" priority="56">
      <formula>M42&lt;0</formula>
    </cfRule>
  </conditionalFormatting>
  <conditionalFormatting sqref="F98:F134 H98:H134 H137:H142 F137:F142 F144:F153 H144:H153">
    <cfRule type="expression" dxfId="580" priority="53">
      <formula>F98&gt;0</formula>
    </cfRule>
    <cfRule type="expression" dxfId="579" priority="54">
      <formula>F98&lt;0</formula>
    </cfRule>
  </conditionalFormatting>
  <conditionalFormatting sqref="F90:F97">
    <cfRule type="expression" dxfId="578" priority="51">
      <formula>F90&gt;0</formula>
    </cfRule>
    <cfRule type="expression" dxfId="577" priority="52">
      <formula>F90&lt;0</formula>
    </cfRule>
  </conditionalFormatting>
  <conditionalFormatting sqref="H90:H97">
    <cfRule type="expression" dxfId="576" priority="49">
      <formula>H90&gt;0</formula>
    </cfRule>
    <cfRule type="expression" dxfId="575" priority="50">
      <formula>H90&lt;0</formula>
    </cfRule>
  </conditionalFormatting>
  <conditionalFormatting sqref="F135:F136 H135:H136">
    <cfRule type="expression" dxfId="574" priority="47">
      <formula>F135&gt;0</formula>
    </cfRule>
    <cfRule type="expression" dxfId="573" priority="48">
      <formula>F135&lt;0</formula>
    </cfRule>
  </conditionalFormatting>
  <conditionalFormatting sqref="H143 F143">
    <cfRule type="expression" dxfId="572" priority="45">
      <formula>F143&gt;0</formula>
    </cfRule>
    <cfRule type="expression" dxfId="571" priority="46">
      <formula>F143&lt;0</formula>
    </cfRule>
  </conditionalFormatting>
  <conditionalFormatting sqref="F154:F161">
    <cfRule type="expression" dxfId="570" priority="31">
      <formula>F154&gt;0</formula>
    </cfRule>
    <cfRule type="expression" dxfId="569" priority="32">
      <formula>F154&lt;0</formula>
    </cfRule>
  </conditionalFormatting>
  <conditionalFormatting sqref="H154:H161">
    <cfRule type="expression" dxfId="568" priority="29">
      <formula>H154&gt;0</formula>
    </cfRule>
    <cfRule type="expression" dxfId="567" priority="30">
      <formula>H154&lt;0</formula>
    </cfRule>
  </conditionalFormatting>
  <conditionalFormatting sqref="Q10">
    <cfRule type="expression" dxfId="566" priority="27">
      <formula>Q10&gt;0</formula>
    </cfRule>
    <cfRule type="expression" dxfId="565" priority="28">
      <formula>Q10&lt;0</formula>
    </cfRule>
  </conditionalFormatting>
  <conditionalFormatting sqref="F37:F38">
    <cfRule type="expression" dxfId="564" priority="25">
      <formula>F37&gt;0</formula>
    </cfRule>
    <cfRule type="expression" dxfId="563" priority="26">
      <formula>F37&lt;0</formula>
    </cfRule>
  </conditionalFormatting>
  <conditionalFormatting sqref="H37:H38">
    <cfRule type="expression" dxfId="562" priority="23">
      <formula>H37&gt;0</formula>
    </cfRule>
    <cfRule type="expression" dxfId="561" priority="24">
      <formula>H37&lt;0</formula>
    </cfRule>
  </conditionalFormatting>
  <conditionalFormatting sqref="F167">
    <cfRule type="expression" dxfId="560" priority="21">
      <formula>F167&gt;0</formula>
    </cfRule>
    <cfRule type="expression" dxfId="559" priority="22">
      <formula>F167&lt;0</formula>
    </cfRule>
  </conditionalFormatting>
  <conditionalFormatting sqref="F168:F179">
    <cfRule type="expression" dxfId="558" priority="19">
      <formula>F168&gt;0</formula>
    </cfRule>
    <cfRule type="expression" dxfId="557" priority="20">
      <formula>F168&lt;0</formula>
    </cfRule>
  </conditionalFormatting>
  <conditionalFormatting sqref="H167:H179">
    <cfRule type="expression" dxfId="556" priority="17">
      <formula>H167&gt;0</formula>
    </cfRule>
    <cfRule type="expression" dxfId="555" priority="18">
      <formula>H167&lt;0</formula>
    </cfRule>
  </conditionalFormatting>
  <conditionalFormatting sqref="J175:J197 J201">
    <cfRule type="expression" dxfId="554" priority="15">
      <formula>J175&gt;0</formula>
    </cfRule>
    <cfRule type="expression" dxfId="553" priority="16">
      <formula>J175&lt;0</formula>
    </cfRule>
  </conditionalFormatting>
  <conditionalFormatting sqref="F180:F197 F201">
    <cfRule type="expression" dxfId="552" priority="13">
      <formula>F180&gt;0</formula>
    </cfRule>
    <cfRule type="expression" dxfId="551" priority="14">
      <formula>F180&lt;0</formula>
    </cfRule>
  </conditionalFormatting>
  <conditionalFormatting sqref="H180:H197 H201">
    <cfRule type="expression" dxfId="550" priority="11">
      <formula>H180&gt;0</formula>
    </cfRule>
    <cfRule type="expression" dxfId="549" priority="12">
      <formula>H180&lt;0</formula>
    </cfRule>
  </conditionalFormatting>
  <conditionalFormatting sqref="I32:J35">
    <cfRule type="expression" dxfId="548" priority="9">
      <formula>I32&gt;0</formula>
    </cfRule>
    <cfRule type="expression" dxfId="547" priority="10">
      <formula>I32&lt;0</formula>
    </cfRule>
  </conditionalFormatting>
  <conditionalFormatting sqref="F198:F200">
    <cfRule type="expression" dxfId="546" priority="7">
      <formula>F198&gt;0</formula>
    </cfRule>
    <cfRule type="expression" dxfId="545" priority="8">
      <formula>F198&lt;0</formula>
    </cfRule>
  </conditionalFormatting>
  <conditionalFormatting sqref="H198:H200">
    <cfRule type="expression" dxfId="544" priority="5">
      <formula>H198&gt;0</formula>
    </cfRule>
    <cfRule type="expression" dxfId="543" priority="6">
      <formula>H198&lt;0</formula>
    </cfRule>
  </conditionalFormatting>
  <conditionalFormatting sqref="J198:J200">
    <cfRule type="expression" dxfId="542" priority="3">
      <formula>J198&gt;0</formula>
    </cfRule>
    <cfRule type="expression" dxfId="541" priority="4">
      <formula>J198&lt;0</formula>
    </cfRule>
  </conditionalFormatting>
  <conditionalFormatting sqref="F202:F211 H202:H211 J202:J211">
    <cfRule type="expression" dxfId="540" priority="1">
      <formula>F202&gt;0</formula>
    </cfRule>
    <cfRule type="expression" dxfId="53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755">
        <v>43165</v>
      </c>
      <c r="C2" s="756">
        <v>50</v>
      </c>
      <c r="D2" s="757">
        <v>70.28</v>
      </c>
      <c r="E2" s="757">
        <v>0</v>
      </c>
      <c r="F2" s="757">
        <f>C2*D2+E2</f>
        <v>3514</v>
      </c>
      <c r="G2" s="755"/>
      <c r="H2" s="756"/>
      <c r="I2" s="757"/>
      <c r="J2" s="757"/>
      <c r="K2" s="757"/>
      <c r="L2" s="758"/>
      <c r="M2" s="75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71.52</v>
      </c>
      <c r="R4" s="496">
        <v>-1.26E-2</v>
      </c>
      <c r="T4" s="158"/>
      <c r="U4" s="1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3576</v>
      </c>
    </row>
    <row r="6" spans="1:23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2122.4300000000003</v>
      </c>
      <c r="R7">
        <v>50</v>
      </c>
    </row>
    <row r="8" spans="1:23" x14ac:dyDescent="0.25"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62</v>
      </c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1.7643710870802503E-2</v>
      </c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968</v>
      </c>
      <c r="Q12" t="s">
        <v>1025</v>
      </c>
    </row>
    <row r="13" spans="1:23" x14ac:dyDescent="0.25">
      <c r="B13" s="480"/>
      <c r="C13" s="4"/>
      <c r="D13" s="3"/>
      <c r="E13" s="3"/>
      <c r="F13" s="3"/>
      <c r="G13" s="480"/>
      <c r="H13" s="179"/>
      <c r="I13" s="3"/>
      <c r="J13" s="3"/>
      <c r="K13" s="3"/>
      <c r="L13" s="4"/>
      <c r="M13" s="4"/>
      <c r="O13" s="11" t="s">
        <v>997</v>
      </c>
      <c r="Q13">
        <f>Q4/5.25</f>
        <v>13.622857142857143</v>
      </c>
    </row>
    <row r="14" spans="1:23" x14ac:dyDescent="0.25">
      <c r="B14" s="480"/>
      <c r="C14" s="4"/>
      <c r="D14" s="3"/>
      <c r="E14" s="3"/>
      <c r="F14" s="3"/>
      <c r="G14" s="480"/>
      <c r="H14" s="179"/>
      <c r="I14" s="3"/>
      <c r="J14" s="3"/>
      <c r="K14" s="3"/>
      <c r="L14" s="4"/>
      <c r="M14" s="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O15" s="683" t="s">
        <v>113</v>
      </c>
      <c r="P15" s="683" t="s">
        <v>699</v>
      </c>
      <c r="Q15" s="683" t="s">
        <v>700</v>
      </c>
      <c r="R15" s="681" t="s">
        <v>693</v>
      </c>
      <c r="S15" s="681" t="s">
        <v>694</v>
      </c>
      <c r="T15" s="683" t="s">
        <v>696</v>
      </c>
      <c r="U15" s="683" t="s">
        <v>697</v>
      </c>
      <c r="V15" s="681" t="s">
        <v>695</v>
      </c>
      <c r="W15" s="682" t="s">
        <v>698</v>
      </c>
    </row>
    <row r="16" spans="1:23" x14ac:dyDescent="0.25">
      <c r="G16" s="29"/>
      <c r="H16" s="70"/>
      <c r="O16" s="684">
        <v>42963</v>
      </c>
      <c r="P16" s="680" t="s">
        <v>701</v>
      </c>
      <c r="Q16" s="680"/>
      <c r="R16" s="679">
        <v>1.18</v>
      </c>
      <c r="S16" s="679">
        <v>1.23</v>
      </c>
      <c r="T16" s="680">
        <v>16.28</v>
      </c>
      <c r="U16" s="680">
        <v>16.399999999999999</v>
      </c>
      <c r="V16" s="677" t="s">
        <v>704</v>
      </c>
      <c r="W16" s="678"/>
    </row>
    <row r="17" spans="1:23" x14ac:dyDescent="0.25">
      <c r="G17" s="29"/>
      <c r="O17" s="686"/>
      <c r="P17" s="680"/>
      <c r="Q17" s="680"/>
      <c r="R17" s="679"/>
      <c r="S17" s="677"/>
      <c r="T17" s="680"/>
      <c r="U17" s="680"/>
      <c r="V17" s="677"/>
      <c r="W17" s="678"/>
    </row>
    <row r="18" spans="1:23" x14ac:dyDescent="0.25">
      <c r="A18" s="31" t="s">
        <v>81</v>
      </c>
      <c r="B18" s="481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85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78.671999999999997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77.956800000000001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77.241600000000005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76.526399999999995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75.811199999999999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75.096000000000004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74.380799999999994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73.665599999999998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72.950400000000002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72.235199999999992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71.52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70.8048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70.08959999999999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69.374399999999994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68.659199999999998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67.943999999999988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67.228799999999993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66.513599999999997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65.798400000000001</v>
      </c>
    </row>
    <row r="60" spans="1:21" x14ac:dyDescent="0.25">
      <c r="A60" s="371" t="s">
        <v>1</v>
      </c>
      <c r="B60" s="629" t="s">
        <v>2</v>
      </c>
      <c r="C60" s="371" t="s">
        <v>4</v>
      </c>
      <c r="D60" s="373" t="s">
        <v>5</v>
      </c>
      <c r="E60" s="373" t="s">
        <v>94</v>
      </c>
      <c r="F60" s="373" t="s">
        <v>60</v>
      </c>
      <c r="G60" s="371" t="s">
        <v>3</v>
      </c>
      <c r="H60" s="371" t="s">
        <v>6</v>
      </c>
      <c r="I60" s="373" t="s">
        <v>7</v>
      </c>
      <c r="J60" s="373" t="s">
        <v>95</v>
      </c>
      <c r="K60" s="373" t="s">
        <v>61</v>
      </c>
      <c r="L60" s="371" t="s">
        <v>37</v>
      </c>
      <c r="M60" s="371" t="s">
        <v>38</v>
      </c>
      <c r="O60" s="81">
        <v>0.91</v>
      </c>
      <c r="P60" s="81">
        <f t="shared" si="0"/>
        <v>65.083200000000005</v>
      </c>
    </row>
    <row r="61" spans="1:21" x14ac:dyDescent="0.25">
      <c r="A61" s="374" t="s">
        <v>343</v>
      </c>
      <c r="B61" s="624">
        <v>42755</v>
      </c>
      <c r="C61" s="365">
        <v>30</v>
      </c>
      <c r="D61" s="366">
        <v>64.680000000000007</v>
      </c>
      <c r="E61" s="366">
        <v>0</v>
      </c>
      <c r="F61" s="366">
        <f t="shared" ref="F61:F66" si="1">D61*C61+E61</f>
        <v>1940.4</v>
      </c>
      <c r="G61" s="624">
        <v>42864</v>
      </c>
      <c r="H61" s="369">
        <v>80</v>
      </c>
      <c r="I61" s="366">
        <v>57.98</v>
      </c>
      <c r="J61" s="366">
        <v>0.1</v>
      </c>
      <c r="K61" s="366">
        <f>H61*I61-J61</f>
        <v>4638.2999999999993</v>
      </c>
      <c r="L61" s="364">
        <v>42805</v>
      </c>
      <c r="M61" s="366">
        <v>18</v>
      </c>
      <c r="O61" s="81">
        <v>0.9</v>
      </c>
      <c r="P61" s="81">
        <f t="shared" si="0"/>
        <v>64.367999999999995</v>
      </c>
    </row>
    <row r="62" spans="1:21" x14ac:dyDescent="0.25">
      <c r="A62" s="375" t="s">
        <v>71</v>
      </c>
      <c r="B62" s="624">
        <v>42797</v>
      </c>
      <c r="C62" s="365">
        <v>50</v>
      </c>
      <c r="D62" s="366">
        <v>57.38</v>
      </c>
      <c r="E62" s="366">
        <v>0</v>
      </c>
      <c r="F62" s="366">
        <f t="shared" si="1"/>
        <v>2869</v>
      </c>
      <c r="G62" s="624">
        <v>42955</v>
      </c>
      <c r="H62" s="369">
        <v>100</v>
      </c>
      <c r="I62" s="366">
        <v>58.78</v>
      </c>
      <c r="J62" s="366">
        <v>0.14000000000000001</v>
      </c>
      <c r="K62" s="366">
        <f>H62*I62-J62</f>
        <v>5877.86</v>
      </c>
      <c r="L62" s="364">
        <v>42899</v>
      </c>
      <c r="M62" s="366">
        <v>48</v>
      </c>
    </row>
    <row r="63" spans="1:21" x14ac:dyDescent="0.25">
      <c r="A63" s="365"/>
      <c r="B63" s="624">
        <v>42809</v>
      </c>
      <c r="C63" s="365">
        <v>50</v>
      </c>
      <c r="D63" s="366">
        <v>54.38</v>
      </c>
      <c r="E63" s="366">
        <v>0</v>
      </c>
      <c r="F63" s="366">
        <f t="shared" si="1"/>
        <v>2719</v>
      </c>
      <c r="G63" s="624">
        <v>42984</v>
      </c>
      <c r="H63" s="369">
        <v>80</v>
      </c>
      <c r="I63" s="366">
        <v>58.38</v>
      </c>
      <c r="J63" s="366">
        <v>0.11</v>
      </c>
      <c r="K63" s="366">
        <f>H63*I63-J63</f>
        <v>4670.2900000000009</v>
      </c>
      <c r="L63" s="365"/>
      <c r="M63" s="365"/>
    </row>
    <row r="64" spans="1:21" x14ac:dyDescent="0.25">
      <c r="A64" s="365"/>
      <c r="B64" s="624">
        <v>42866</v>
      </c>
      <c r="C64" s="365">
        <v>30</v>
      </c>
      <c r="D64" s="366">
        <v>56.25</v>
      </c>
      <c r="E64" s="366">
        <v>0</v>
      </c>
      <c r="F64" s="366">
        <f t="shared" si="1"/>
        <v>1687.5</v>
      </c>
      <c r="G64" s="624"/>
      <c r="H64" s="369"/>
      <c r="I64" s="366"/>
      <c r="J64" s="366"/>
      <c r="K64" s="366"/>
      <c r="L64" s="365"/>
      <c r="M64" s="365"/>
    </row>
    <row r="65" spans="1:13" x14ac:dyDescent="0.25">
      <c r="A65" s="365"/>
      <c r="B65" s="624">
        <v>42871</v>
      </c>
      <c r="C65" s="365">
        <v>50</v>
      </c>
      <c r="D65" s="366">
        <v>54.45</v>
      </c>
      <c r="E65" s="366">
        <v>0</v>
      </c>
      <c r="F65" s="366">
        <f t="shared" si="1"/>
        <v>2722.5</v>
      </c>
      <c r="G65" s="624"/>
      <c r="H65" s="369"/>
      <c r="I65" s="366"/>
      <c r="J65" s="366"/>
      <c r="K65" s="366"/>
      <c r="L65" s="365"/>
      <c r="M65" s="365"/>
    </row>
    <row r="66" spans="1:13" x14ac:dyDescent="0.25">
      <c r="A66" s="365"/>
      <c r="B66" s="624">
        <v>42902</v>
      </c>
      <c r="C66" s="365">
        <v>50</v>
      </c>
      <c r="D66" s="366">
        <v>49</v>
      </c>
      <c r="E66" s="366">
        <v>0</v>
      </c>
      <c r="F66" s="366">
        <f t="shared" si="1"/>
        <v>2450</v>
      </c>
      <c r="G66" s="624"/>
      <c r="H66" s="369"/>
      <c r="I66" s="366"/>
      <c r="J66" s="366"/>
      <c r="K66" s="366"/>
      <c r="L66" s="365"/>
      <c r="M66" s="365"/>
    </row>
    <row r="67" spans="1:13" x14ac:dyDescent="0.25">
      <c r="A67" s="365"/>
      <c r="B67" s="624"/>
      <c r="C67" s="365"/>
      <c r="D67" s="366"/>
      <c r="E67" s="366"/>
      <c r="F67" s="366"/>
      <c r="G67" s="624"/>
      <c r="H67" s="369"/>
      <c r="I67" s="366"/>
      <c r="J67" s="366"/>
      <c r="K67" s="366"/>
      <c r="L67" s="365"/>
      <c r="M67" s="365"/>
    </row>
    <row r="68" spans="1:13" x14ac:dyDescent="0.25">
      <c r="A68" s="365"/>
      <c r="B68" s="47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5"/>
      <c r="B69" s="624"/>
      <c r="C69" s="365"/>
      <c r="D69" s="366"/>
      <c r="E69" s="366"/>
      <c r="F69" s="366"/>
      <c r="G69" s="624"/>
      <c r="H69" s="369"/>
      <c r="I69" s="366"/>
      <c r="J69" s="366"/>
      <c r="K69" s="366"/>
      <c r="L69" s="624"/>
      <c r="M69" s="365"/>
    </row>
    <row r="70" spans="1:13" x14ac:dyDescent="0.25">
      <c r="A70" s="365"/>
      <c r="B70" s="480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0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5"/>
      <c r="B71" s="624"/>
      <c r="C71" s="365"/>
      <c r="D71" s="366"/>
      <c r="E71" s="366"/>
      <c r="F71" s="366"/>
      <c r="G71" s="624"/>
      <c r="H71" s="369"/>
      <c r="I71" s="366"/>
      <c r="J71" s="366"/>
      <c r="K71" s="366"/>
      <c r="L71" s="365"/>
      <c r="M71" s="365"/>
    </row>
    <row r="72" spans="1:13" x14ac:dyDescent="0.25">
      <c r="A72" s="365"/>
      <c r="B72" s="624"/>
      <c r="C72" s="365"/>
      <c r="D72" s="366"/>
      <c r="E72" s="366"/>
      <c r="F72" s="366"/>
      <c r="G72" s="624"/>
      <c r="H72" s="369"/>
      <c r="I72" s="366"/>
      <c r="J72" s="366"/>
      <c r="K72" s="366"/>
      <c r="L72" s="365"/>
      <c r="M72" s="365"/>
    </row>
    <row r="73" spans="1:13" x14ac:dyDescent="0.25">
      <c r="A73" s="365"/>
      <c r="B73" s="624"/>
      <c r="C73" s="365"/>
      <c r="D73" s="366"/>
      <c r="E73" s="366"/>
      <c r="F73" s="366"/>
      <c r="G73" s="624"/>
      <c r="H73" s="369"/>
      <c r="I73" s="366"/>
      <c r="J73" s="366"/>
      <c r="K73" s="366"/>
      <c r="L73" s="365"/>
      <c r="M73" s="365"/>
    </row>
    <row r="74" spans="1:13" x14ac:dyDescent="0.25">
      <c r="A74" s="365"/>
      <c r="B74" s="624"/>
      <c r="C74" s="365"/>
      <c r="D74" s="366"/>
      <c r="E74" s="366"/>
      <c r="F74" s="366"/>
      <c r="G74" s="624"/>
      <c r="H74" s="369"/>
      <c r="I74" s="366"/>
      <c r="J74" s="366"/>
      <c r="K74" s="366"/>
      <c r="L74" s="365"/>
      <c r="M74" s="365"/>
    </row>
    <row r="75" spans="1:13" x14ac:dyDescent="0.25">
      <c r="A75" s="365"/>
      <c r="B75" s="624"/>
      <c r="C75" s="365"/>
      <c r="D75" s="366"/>
      <c r="E75" s="366"/>
      <c r="F75" s="366"/>
      <c r="G75" s="624"/>
      <c r="H75" s="369"/>
      <c r="I75" s="366"/>
      <c r="J75" s="366"/>
      <c r="K75" s="366"/>
      <c r="L75" s="365"/>
      <c r="M75" s="365"/>
    </row>
    <row r="76" spans="1:13" x14ac:dyDescent="0.25">
      <c r="A76" s="365"/>
      <c r="B76" s="624"/>
      <c r="C76" s="365"/>
      <c r="D76" s="366"/>
      <c r="E76" s="366"/>
      <c r="F76" s="366"/>
      <c r="G76" s="624"/>
      <c r="H76" s="365"/>
      <c r="I76" s="366"/>
      <c r="J76" s="366"/>
      <c r="K76" s="366"/>
      <c r="L76" s="365"/>
      <c r="M76" s="365"/>
    </row>
    <row r="77" spans="1:13" x14ac:dyDescent="0.25">
      <c r="A77" s="21" t="s">
        <v>81</v>
      </c>
      <c r="B77" s="63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7" t="s">
        <v>194</v>
      </c>
      <c r="B78" s="631"/>
      <c r="C78" s="449">
        <f>SumByColor($A$19,C61:C76)</f>
        <v>100</v>
      </c>
      <c r="D78" s="449"/>
      <c r="E78" s="449"/>
      <c r="F78" s="450">
        <f>SumByColor($A$19,F61:F76)</f>
        <v>5750</v>
      </c>
      <c r="G78" s="449"/>
      <c r="H78" s="449">
        <f>SumByColor($A$19,H61:H76)</f>
        <v>100</v>
      </c>
      <c r="I78" s="449"/>
      <c r="J78" s="449"/>
      <c r="K78" s="450">
        <f>SumByColor($A$19,K61:K76)</f>
        <v>5998</v>
      </c>
      <c r="L78" s="449"/>
      <c r="M78" s="450">
        <f>SumByColor($A$19,M61:M76)</f>
        <v>143</v>
      </c>
    </row>
    <row r="83" spans="1:13" x14ac:dyDescent="0.25">
      <c r="A83" s="365"/>
      <c r="B83" s="622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491" t="s">
        <v>150</v>
      </c>
      <c r="K83" s="366"/>
      <c r="L83" s="365"/>
      <c r="M83" s="365"/>
    </row>
    <row r="84" spans="1:13" x14ac:dyDescent="0.25">
      <c r="A84" s="365"/>
      <c r="B84" s="624">
        <v>42755</v>
      </c>
      <c r="C84" s="365">
        <v>30</v>
      </c>
      <c r="D84" s="366">
        <v>64.680000000000007</v>
      </c>
      <c r="E84" s="366">
        <v>64.099999999999994</v>
      </c>
      <c r="F84" s="366">
        <f t="shared" ref="F84:F103" si="2">C84*(E84-D84)</f>
        <v>-17.400000000000375</v>
      </c>
      <c r="G84" s="366">
        <f t="shared" ref="G84:G103" si="3">D84*C84</f>
        <v>1940.4</v>
      </c>
      <c r="H84" s="708">
        <f>(E84-D84)/D84</f>
        <v>-8.9672232529377314E-3</v>
      </c>
      <c r="I84" s="366"/>
      <c r="J84" s="366"/>
      <c r="K84" s="366"/>
      <c r="L84" s="365"/>
      <c r="M84" s="365"/>
    </row>
    <row r="85" spans="1:13" x14ac:dyDescent="0.25">
      <c r="A85" s="365"/>
      <c r="B85" s="624">
        <v>42760</v>
      </c>
      <c r="C85" s="365">
        <v>30</v>
      </c>
      <c r="D85" s="366">
        <v>64.680000000000007</v>
      </c>
      <c r="E85" s="366">
        <v>65</v>
      </c>
      <c r="F85" s="366">
        <f t="shared" si="2"/>
        <v>9.5999999999997954</v>
      </c>
      <c r="G85" s="366">
        <f t="shared" si="3"/>
        <v>1940.4</v>
      </c>
      <c r="H85" s="708">
        <f t="shared" ref="H85:H103" si="4">(E85-D85)/D85</f>
        <v>4.947433518861984E-3</v>
      </c>
      <c r="I85" s="366"/>
      <c r="J85" s="366"/>
      <c r="K85" s="366"/>
      <c r="L85" s="365"/>
      <c r="M85" s="365"/>
    </row>
    <row r="86" spans="1:13" x14ac:dyDescent="0.25">
      <c r="A86" s="365"/>
      <c r="B86" s="624">
        <v>42771</v>
      </c>
      <c r="C86" s="365">
        <v>30</v>
      </c>
      <c r="D86" s="366">
        <v>64.680000000000007</v>
      </c>
      <c r="E86" s="366">
        <v>63.75</v>
      </c>
      <c r="F86" s="366">
        <f t="shared" si="2"/>
        <v>-27.900000000000205</v>
      </c>
      <c r="G86" s="366">
        <f t="shared" si="3"/>
        <v>1940.4</v>
      </c>
      <c r="H86" s="708">
        <f t="shared" si="4"/>
        <v>-1.4378478664193053E-2</v>
      </c>
      <c r="I86" s="366"/>
      <c r="J86" s="366"/>
      <c r="K86" s="366"/>
      <c r="L86" s="365"/>
      <c r="M86" s="365"/>
    </row>
    <row r="87" spans="1:13" x14ac:dyDescent="0.25">
      <c r="A87" s="365" t="s">
        <v>454</v>
      </c>
      <c r="B87" s="624">
        <v>42790</v>
      </c>
      <c r="C87" s="365">
        <v>30</v>
      </c>
      <c r="D87" s="366">
        <v>64.680000000000007</v>
      </c>
      <c r="E87" s="366">
        <v>66.510000000000005</v>
      </c>
      <c r="F87" s="366">
        <f t="shared" si="2"/>
        <v>54.899999999999949</v>
      </c>
      <c r="G87" s="366">
        <f t="shared" si="3"/>
        <v>1940.4</v>
      </c>
      <c r="H87" s="708">
        <f t="shared" si="4"/>
        <v>2.8293135435992548E-2</v>
      </c>
      <c r="I87" s="366"/>
      <c r="J87" s="366"/>
      <c r="K87" s="366"/>
      <c r="L87" s="365"/>
      <c r="M87" s="365"/>
    </row>
    <row r="88" spans="1:13" x14ac:dyDescent="0.25">
      <c r="A88" s="365" t="s">
        <v>454</v>
      </c>
      <c r="B88" s="624">
        <v>42795</v>
      </c>
      <c r="C88" s="365">
        <v>30</v>
      </c>
      <c r="D88" s="366">
        <v>64.680000000000007</v>
      </c>
      <c r="E88" s="366">
        <v>57.83</v>
      </c>
      <c r="F88" s="366">
        <f t="shared" si="2"/>
        <v>-205.50000000000026</v>
      </c>
      <c r="G88" s="366">
        <f t="shared" si="3"/>
        <v>1940.4</v>
      </c>
      <c r="H88" s="708">
        <f t="shared" si="4"/>
        <v>-0.10590599876314175</v>
      </c>
      <c r="I88" s="366"/>
      <c r="J88" s="366"/>
      <c r="K88" s="366"/>
      <c r="L88" s="365"/>
      <c r="M88" s="365"/>
    </row>
    <row r="89" spans="1:13" x14ac:dyDescent="0.25">
      <c r="A89" s="365" t="s">
        <v>480</v>
      </c>
      <c r="B89" s="624">
        <v>42798</v>
      </c>
      <c r="C89" s="365">
        <v>80</v>
      </c>
      <c r="D89" s="366">
        <v>60.1175</v>
      </c>
      <c r="E89" s="366">
        <v>57.35</v>
      </c>
      <c r="F89" s="366">
        <f t="shared" si="2"/>
        <v>-221.39999999999986</v>
      </c>
      <c r="G89" s="366">
        <f t="shared" si="3"/>
        <v>4809.3999999999996</v>
      </c>
      <c r="H89" s="708">
        <f t="shared" si="4"/>
        <v>-4.6034848421840531E-2</v>
      </c>
      <c r="I89" s="366"/>
      <c r="J89" s="366"/>
      <c r="K89" s="366"/>
      <c r="L89" s="365"/>
      <c r="M89" s="365"/>
    </row>
    <row r="90" spans="1:13" x14ac:dyDescent="0.25">
      <c r="A90" s="365">
        <v>30</v>
      </c>
      <c r="B90" s="624">
        <v>42800</v>
      </c>
      <c r="C90" s="365">
        <v>80</v>
      </c>
      <c r="D90" s="366">
        <v>60.1175</v>
      </c>
      <c r="E90" s="366">
        <v>56.1</v>
      </c>
      <c r="F90" s="366">
        <f t="shared" si="2"/>
        <v>-321.39999999999986</v>
      </c>
      <c r="G90" s="366">
        <f t="shared" si="3"/>
        <v>4809.3999999999996</v>
      </c>
      <c r="H90" s="708">
        <f t="shared" si="4"/>
        <v>-6.6827462885183153E-2</v>
      </c>
      <c r="I90" s="366"/>
      <c r="J90" s="366"/>
      <c r="K90" s="366"/>
      <c r="L90" s="365"/>
      <c r="M90" s="365"/>
    </row>
    <row r="91" spans="1:13" x14ac:dyDescent="0.25">
      <c r="A91" s="365">
        <v>30</v>
      </c>
      <c r="B91" s="624">
        <v>42805</v>
      </c>
      <c r="C91" s="365">
        <v>80</v>
      </c>
      <c r="D91" s="366">
        <v>59.892499999999998</v>
      </c>
      <c r="E91" s="366">
        <v>55.36</v>
      </c>
      <c r="F91" s="366">
        <f t="shared" si="2"/>
        <v>-362.59999999999991</v>
      </c>
      <c r="G91" s="366">
        <f t="shared" si="3"/>
        <v>4791.3999999999996</v>
      </c>
      <c r="H91" s="708">
        <f t="shared" si="4"/>
        <v>-7.5677255082021944E-2</v>
      </c>
      <c r="I91" s="366"/>
      <c r="J91" s="366"/>
      <c r="K91" s="366"/>
      <c r="L91" s="365"/>
      <c r="M91" s="365"/>
    </row>
    <row r="92" spans="1:13" x14ac:dyDescent="0.25">
      <c r="A92" s="365">
        <v>30</v>
      </c>
      <c r="B92" s="624">
        <v>42808</v>
      </c>
      <c r="C92" s="365">
        <v>80</v>
      </c>
      <c r="D92" s="366">
        <v>59.892499999999998</v>
      </c>
      <c r="E92" s="366">
        <v>54.75</v>
      </c>
      <c r="F92" s="366">
        <f t="shared" si="2"/>
        <v>-411.39999999999986</v>
      </c>
      <c r="G92" s="366">
        <f t="shared" si="3"/>
        <v>4791.3999999999996</v>
      </c>
      <c r="H92" s="708">
        <f t="shared" si="4"/>
        <v>-8.5862169720749656E-2</v>
      </c>
      <c r="I92" s="366"/>
      <c r="J92" s="366"/>
      <c r="K92" s="366"/>
      <c r="L92" s="365"/>
      <c r="M92" s="365"/>
    </row>
    <row r="93" spans="1:13" x14ac:dyDescent="0.25">
      <c r="A93" s="365">
        <v>30</v>
      </c>
      <c r="B93" s="624">
        <v>42809</v>
      </c>
      <c r="C93" s="365">
        <v>130</v>
      </c>
      <c r="D93" s="366">
        <v>57.772300000000001</v>
      </c>
      <c r="E93" s="366">
        <v>54.57</v>
      </c>
      <c r="F93" s="366">
        <f t="shared" si="2"/>
        <v>-416.29900000000015</v>
      </c>
      <c r="G93" s="366">
        <f t="shared" si="3"/>
        <v>7510.3990000000003</v>
      </c>
      <c r="H93" s="708">
        <f t="shared" si="4"/>
        <v>-5.5429678236802081E-2</v>
      </c>
      <c r="I93" s="366"/>
      <c r="J93" s="366"/>
      <c r="K93" s="366"/>
      <c r="L93" s="365"/>
      <c r="M93" s="365"/>
    </row>
    <row r="94" spans="1:13" x14ac:dyDescent="0.25">
      <c r="A94" s="365">
        <v>130</v>
      </c>
      <c r="B94" s="624">
        <v>42862</v>
      </c>
      <c r="C94" s="365">
        <v>130</v>
      </c>
      <c r="D94" s="366">
        <v>57.77</v>
      </c>
      <c r="E94" s="366">
        <v>57.32</v>
      </c>
      <c r="F94" s="366">
        <f t="shared" si="2"/>
        <v>-58.500000000000369</v>
      </c>
      <c r="G94" s="366">
        <f t="shared" si="3"/>
        <v>7510.1</v>
      </c>
      <c r="H94" s="708">
        <f t="shared" si="4"/>
        <v>-7.7895101263632128E-3</v>
      </c>
      <c r="I94" s="366"/>
      <c r="J94" s="366"/>
      <c r="K94" s="366"/>
      <c r="L94" s="365"/>
      <c r="M94" s="365"/>
    </row>
    <row r="95" spans="1:13" x14ac:dyDescent="0.25">
      <c r="A95" s="365">
        <v>50</v>
      </c>
      <c r="B95" s="624">
        <v>42864</v>
      </c>
      <c r="C95" s="365">
        <v>50</v>
      </c>
      <c r="D95" s="366">
        <v>57.442</v>
      </c>
      <c r="E95" s="366">
        <v>58.01</v>
      </c>
      <c r="F95" s="366">
        <f t="shared" si="2"/>
        <v>28.399999999999892</v>
      </c>
      <c r="G95" s="366">
        <f t="shared" si="3"/>
        <v>2872.1</v>
      </c>
      <c r="H95" s="708">
        <f t="shared" si="4"/>
        <v>9.8882350893074369E-3</v>
      </c>
      <c r="I95" s="366"/>
      <c r="J95" s="366"/>
      <c r="K95" s="366"/>
      <c r="L95" s="365"/>
      <c r="M95" s="365"/>
    </row>
    <row r="96" spans="1:13" x14ac:dyDescent="0.25">
      <c r="A96" s="365">
        <v>50</v>
      </c>
      <c r="B96" s="624">
        <v>42866</v>
      </c>
      <c r="C96" s="365">
        <v>80</v>
      </c>
      <c r="D96" s="366">
        <v>56.994999999999997</v>
      </c>
      <c r="E96" s="366">
        <v>56.06</v>
      </c>
      <c r="F96" s="366">
        <f t="shared" si="2"/>
        <v>-74.799999999999613</v>
      </c>
      <c r="G96" s="366">
        <f t="shared" si="3"/>
        <v>4559.5999999999995</v>
      </c>
      <c r="H96" s="708">
        <f t="shared" si="4"/>
        <v>-1.6404947802438726E-2</v>
      </c>
      <c r="I96" s="366"/>
      <c r="J96" s="366"/>
      <c r="K96" s="366"/>
      <c r="L96" s="365"/>
      <c r="M96" s="365"/>
    </row>
    <row r="97" spans="1:13" x14ac:dyDescent="0.25">
      <c r="A97" s="365">
        <v>50</v>
      </c>
      <c r="B97" s="624">
        <v>42871</v>
      </c>
      <c r="C97" s="365">
        <v>130</v>
      </c>
      <c r="D97" s="366">
        <v>56.015999999999998</v>
      </c>
      <c r="E97" s="366">
        <v>54.53</v>
      </c>
      <c r="F97" s="366">
        <f t="shared" si="2"/>
        <v>-193.17999999999961</v>
      </c>
      <c r="G97" s="366">
        <f t="shared" si="3"/>
        <v>7282.08</v>
      </c>
      <c r="H97" s="708">
        <f t="shared" si="4"/>
        <v>-2.6528134818623199E-2</v>
      </c>
      <c r="I97" s="366"/>
      <c r="J97" s="366"/>
      <c r="K97" s="366"/>
      <c r="L97" s="365"/>
      <c r="M97" s="365"/>
    </row>
    <row r="98" spans="1:13" x14ac:dyDescent="0.25">
      <c r="A98" s="365">
        <v>80</v>
      </c>
      <c r="B98" s="624">
        <v>42899</v>
      </c>
      <c r="C98" s="365">
        <v>130</v>
      </c>
      <c r="D98" s="366">
        <v>55.646900000000002</v>
      </c>
      <c r="E98" s="366">
        <v>57.38</v>
      </c>
      <c r="F98" s="366">
        <f t="shared" si="2"/>
        <v>225.30300000000005</v>
      </c>
      <c r="G98" s="366">
        <f t="shared" si="3"/>
        <v>7234.0970000000007</v>
      </c>
      <c r="H98" s="708">
        <f t="shared" si="4"/>
        <v>3.1144592061732104E-2</v>
      </c>
      <c r="I98" s="366"/>
      <c r="J98" s="366"/>
      <c r="K98" s="366"/>
      <c r="L98" s="365"/>
      <c r="M98" s="365"/>
    </row>
    <row r="99" spans="1:13" x14ac:dyDescent="0.25">
      <c r="A99" s="365">
        <v>130</v>
      </c>
      <c r="B99" s="624">
        <v>42904</v>
      </c>
      <c r="C99" s="365">
        <v>180</v>
      </c>
      <c r="D99" s="366">
        <v>53.8</v>
      </c>
      <c r="E99" s="366">
        <v>52.61</v>
      </c>
      <c r="F99" s="366">
        <f t="shared" si="2"/>
        <v>-214.19999999999959</v>
      </c>
      <c r="G99" s="366">
        <f t="shared" si="3"/>
        <v>9684</v>
      </c>
      <c r="H99" s="708">
        <f t="shared" si="4"/>
        <v>-2.211895910780665E-2</v>
      </c>
      <c r="I99" s="366"/>
      <c r="J99" s="366"/>
      <c r="K99" s="366"/>
      <c r="L99" s="365"/>
      <c r="M99" s="365"/>
    </row>
    <row r="100" spans="1:13" x14ac:dyDescent="0.25">
      <c r="A100" s="365"/>
      <c r="B100" s="624">
        <v>42943</v>
      </c>
      <c r="C100" s="365">
        <v>180</v>
      </c>
      <c r="D100" s="366">
        <v>53.8</v>
      </c>
      <c r="E100" s="366">
        <v>56.05</v>
      </c>
      <c r="F100" s="366">
        <f t="shared" si="2"/>
        <v>405</v>
      </c>
      <c r="G100" s="366">
        <f t="shared" si="3"/>
        <v>9684</v>
      </c>
      <c r="H100" s="708">
        <f t="shared" si="4"/>
        <v>4.1821561338289966E-2</v>
      </c>
      <c r="I100" s="366"/>
      <c r="J100" s="366"/>
      <c r="K100" s="366"/>
      <c r="L100" s="365"/>
      <c r="M100" s="365"/>
    </row>
    <row r="101" spans="1:13" x14ac:dyDescent="0.25">
      <c r="A101" s="365">
        <v>80</v>
      </c>
      <c r="B101" s="624">
        <v>42955</v>
      </c>
      <c r="C101" s="365">
        <v>80</v>
      </c>
      <c r="D101" s="366">
        <v>47.578000000000003</v>
      </c>
      <c r="E101" s="366">
        <v>58.74</v>
      </c>
      <c r="F101" s="366">
        <f t="shared" si="2"/>
        <v>892.95999999999992</v>
      </c>
      <c r="G101" s="366">
        <f t="shared" si="3"/>
        <v>3806.2400000000002</v>
      </c>
      <c r="H101" s="708">
        <f t="shared" si="4"/>
        <v>0.23460422884526458</v>
      </c>
      <c r="I101" s="366"/>
      <c r="J101" s="366"/>
      <c r="K101" s="366"/>
      <c r="L101" s="365"/>
      <c r="M101" s="365"/>
    </row>
    <row r="102" spans="1:13" x14ac:dyDescent="0.25">
      <c r="A102" s="365">
        <v>80</v>
      </c>
      <c r="B102" s="624">
        <v>42956</v>
      </c>
      <c r="C102" s="365">
        <v>180</v>
      </c>
      <c r="D102" s="366">
        <v>53.09</v>
      </c>
      <c r="E102" s="366">
        <v>57.87</v>
      </c>
      <c r="F102" s="366">
        <f t="shared" si="2"/>
        <v>860.39999999999895</v>
      </c>
      <c r="G102" s="366">
        <f t="shared" si="3"/>
        <v>9556.2000000000007</v>
      </c>
      <c r="H102" s="708">
        <f t="shared" si="4"/>
        <v>9.0035788284045848E-2</v>
      </c>
      <c r="I102" s="366"/>
      <c r="J102" s="366"/>
      <c r="K102" s="366"/>
      <c r="L102" s="365"/>
      <c r="M102" s="365"/>
    </row>
    <row r="103" spans="1:13" x14ac:dyDescent="0.25">
      <c r="A103" s="364">
        <v>42989</v>
      </c>
      <c r="B103" s="624">
        <v>42984</v>
      </c>
      <c r="C103" s="365">
        <v>100</v>
      </c>
      <c r="D103" s="366">
        <v>48.859499999999997</v>
      </c>
      <c r="E103" s="366">
        <v>58.14</v>
      </c>
      <c r="F103" s="366">
        <f t="shared" si="2"/>
        <v>928.05000000000041</v>
      </c>
      <c r="G103" s="366">
        <f t="shared" si="3"/>
        <v>4885.95</v>
      </c>
      <c r="H103" s="708">
        <f t="shared" si="4"/>
        <v>0.18994259048905543</v>
      </c>
      <c r="I103" s="366"/>
      <c r="J103" s="366"/>
      <c r="K103" s="366"/>
      <c r="L103" s="365"/>
      <c r="M103" s="365"/>
    </row>
    <row r="104" spans="1:13" x14ac:dyDescent="0.25">
      <c r="A104" s="365"/>
      <c r="B104" s="624"/>
      <c r="C104" s="365"/>
      <c r="D104" s="366"/>
      <c r="E104" s="366"/>
      <c r="F104" s="366"/>
      <c r="G104" s="365"/>
      <c r="H104" s="365"/>
      <c r="I104" s="366"/>
      <c r="J104" s="366"/>
      <c r="K104" s="366"/>
      <c r="L104" s="365"/>
      <c r="M104" s="365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6"/>
      <c r="L105" s="365"/>
      <c r="M105" s="365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6"/>
      <c r="L106" s="365"/>
      <c r="M106" s="365"/>
    </row>
    <row r="107" spans="1:13" x14ac:dyDescent="0.25">
      <c r="A107" s="365"/>
      <c r="B107" s="624"/>
      <c r="C107" s="365"/>
      <c r="D107" s="366"/>
      <c r="E107" s="366"/>
      <c r="F107" s="366"/>
      <c r="G107" s="365"/>
      <c r="H107" s="708"/>
      <c r="I107" s="366"/>
      <c r="J107" s="366"/>
      <c r="K107" s="366"/>
      <c r="L107" s="365"/>
      <c r="M107" s="365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6"/>
      <c r="L108" s="365"/>
      <c r="M108" s="365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6"/>
      <c r="L109" s="365"/>
      <c r="M109" s="365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6"/>
      <c r="L110" s="365"/>
      <c r="M110" s="365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6"/>
      <c r="L111" s="365"/>
      <c r="M111" s="365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6"/>
      <c r="L112" s="365"/>
      <c r="M112" s="365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6"/>
      <c r="L113" s="365"/>
      <c r="M113" s="365"/>
    </row>
    <row r="114" spans="1:13" x14ac:dyDescent="0.25">
      <c r="A114" s="365"/>
      <c r="B114" s="624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624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624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8" priority="80">
      <formula>Q7&gt;0</formula>
    </cfRule>
    <cfRule type="expression" dxfId="537" priority="81">
      <formula>Q7&lt;0</formula>
    </cfRule>
  </conditionalFormatting>
  <conditionalFormatting sqref="Q8">
    <cfRule type="expression" dxfId="536" priority="78">
      <formula>Q8&gt;0</formula>
    </cfRule>
    <cfRule type="expression" dxfId="535" priority="79">
      <formula>Q8&lt;0</formula>
    </cfRule>
  </conditionalFormatting>
  <conditionalFormatting sqref="F29:F43">
    <cfRule type="expression" dxfId="534" priority="62">
      <formula>F29&gt;0</formula>
    </cfRule>
    <cfRule type="expression" dxfId="533" priority="63">
      <formula>F29&lt;0</formula>
    </cfRule>
  </conditionalFormatting>
  <conditionalFormatting sqref="H45 H47:H48 H50:H51 H53 H29:H43">
    <cfRule type="expression" dxfId="532" priority="60">
      <formula>H29&gt;0</formula>
    </cfRule>
    <cfRule type="expression" dxfId="531" priority="61">
      <formula>H29&lt;0</formula>
    </cfRule>
  </conditionalFormatting>
  <conditionalFormatting sqref="J35">
    <cfRule type="expression" dxfId="530" priority="56">
      <formula>J35&gt;0</formula>
    </cfRule>
    <cfRule type="expression" dxfId="529" priority="57">
      <formula>J35&lt;0</formula>
    </cfRule>
  </conditionalFormatting>
  <conditionalFormatting sqref="J36:J37">
    <cfRule type="expression" dxfId="528" priority="54">
      <formula>J36&gt;0</formula>
    </cfRule>
    <cfRule type="expression" dxfId="527" priority="55">
      <formula>J36&lt;0</formula>
    </cfRule>
  </conditionalFormatting>
  <conditionalFormatting sqref="J38:J45 J48 J51">
    <cfRule type="expression" dxfId="526" priority="52">
      <formula>J38&gt;0</formula>
    </cfRule>
    <cfRule type="expression" dxfId="52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4" priority="49">
      <formula>M59&gt;0</formula>
    </cfRule>
    <cfRule type="expression" dxfId="523" priority="50">
      <formula>M59&lt;0</formula>
    </cfRule>
  </conditionalFormatting>
  <conditionalFormatting sqref="Q10">
    <cfRule type="expression" dxfId="522" priority="47">
      <formula>Q10&gt;0</formula>
    </cfRule>
    <cfRule type="expression" dxfId="521" priority="48">
      <formula>Q10&lt;0</formula>
    </cfRule>
  </conditionalFormatting>
  <conditionalFormatting sqref="F84:F103">
    <cfRule type="expression" dxfId="520" priority="45">
      <formula>F84&gt;0</formula>
    </cfRule>
    <cfRule type="expression" dxfId="519" priority="46">
      <formula>F84&lt;0</formula>
    </cfRule>
  </conditionalFormatting>
  <conditionalFormatting sqref="H107 H84:H103">
    <cfRule type="expression" dxfId="518" priority="43">
      <formula>H84&gt;0</formula>
    </cfRule>
    <cfRule type="expression" dxfId="517" priority="44">
      <formula>H84&lt;0</formula>
    </cfRule>
  </conditionalFormatting>
  <conditionalFormatting sqref="J89">
    <cfRule type="expression" dxfId="516" priority="41">
      <formula>J89&gt;0</formula>
    </cfRule>
    <cfRule type="expression" dxfId="515" priority="42">
      <formula>J89&lt;0</formula>
    </cfRule>
  </conditionalFormatting>
  <conditionalFormatting sqref="J90:J95">
    <cfRule type="expression" dxfId="514" priority="39">
      <formula>J90&gt;0</formula>
    </cfRule>
    <cfRule type="expression" dxfId="513" priority="40">
      <formula>J90&lt;0</formula>
    </cfRule>
  </conditionalFormatting>
  <conditionalFormatting sqref="J96:J97">
    <cfRule type="expression" dxfId="512" priority="37">
      <formula>J96&gt;0</formula>
    </cfRule>
    <cfRule type="expression" dxfId="511" priority="38">
      <formula>J96&lt;0</formula>
    </cfRule>
  </conditionalFormatting>
  <conditionalFormatting sqref="J98:J104">
    <cfRule type="expression" dxfId="510" priority="35">
      <formula>J98&gt;0</formula>
    </cfRule>
    <cfRule type="expression" dxfId="509" priority="36">
      <formula>J98&lt;0</formula>
    </cfRule>
  </conditionalFormatting>
  <conditionalFormatting sqref="J25">
    <cfRule type="expression" dxfId="508" priority="31">
      <formula>J25&gt;0</formula>
    </cfRule>
    <cfRule type="expression" dxfId="507" priority="32">
      <formula>J25&lt;0</formula>
    </cfRule>
  </conditionalFormatting>
  <conditionalFormatting sqref="F105:F106">
    <cfRule type="expression" dxfId="506" priority="29">
      <formula>F105&gt;0</formula>
    </cfRule>
    <cfRule type="expression" dxfId="505" priority="30">
      <formula>F105&lt;0</formula>
    </cfRule>
  </conditionalFormatting>
  <conditionalFormatting sqref="H105:H106">
    <cfRule type="expression" dxfId="504" priority="27">
      <formula>H105&gt;0</formula>
    </cfRule>
    <cfRule type="expression" dxfId="503" priority="28">
      <formula>H105&lt;0</formula>
    </cfRule>
  </conditionalFormatting>
  <conditionalFormatting sqref="J105">
    <cfRule type="expression" dxfId="502" priority="25">
      <formula>J105&gt;0</formula>
    </cfRule>
    <cfRule type="expression" dxfId="501" priority="26">
      <formula>J105&lt;0</formula>
    </cfRule>
  </conditionalFormatting>
  <conditionalFormatting sqref="J106">
    <cfRule type="expression" dxfId="500" priority="23">
      <formula>J106&gt;0</formula>
    </cfRule>
    <cfRule type="expression" dxfId="499" priority="24">
      <formula>J106&lt;0</formula>
    </cfRule>
  </conditionalFormatting>
  <conditionalFormatting sqref="F24 F27:F28">
    <cfRule type="expression" dxfId="498" priority="21">
      <formula>F24&gt;0</formula>
    </cfRule>
    <cfRule type="expression" dxfId="497" priority="22">
      <formula>F24&lt;0</formula>
    </cfRule>
  </conditionalFormatting>
  <conditionalFormatting sqref="H24:H28">
    <cfRule type="expression" dxfId="496" priority="19">
      <formula>H24&gt;0</formula>
    </cfRule>
    <cfRule type="expression" dxfId="495" priority="20">
      <formula>H24&lt;0</formula>
    </cfRule>
  </conditionalFormatting>
  <conditionalFormatting sqref="J26:J34">
    <cfRule type="expression" dxfId="494" priority="17">
      <formula>J26&gt;0</formula>
    </cfRule>
    <cfRule type="expression" dxfId="493" priority="18">
      <formula>J26&lt;0</formula>
    </cfRule>
  </conditionalFormatting>
  <conditionalFormatting sqref="F113">
    <cfRule type="expression" dxfId="492" priority="15">
      <formula>F113&gt;0</formula>
    </cfRule>
    <cfRule type="expression" dxfId="491" priority="16">
      <formula>F113&lt;0</formula>
    </cfRule>
  </conditionalFormatting>
  <conditionalFormatting sqref="H113">
    <cfRule type="expression" dxfId="490" priority="13">
      <formula>H113&gt;0</formula>
    </cfRule>
    <cfRule type="expression" dxfId="489" priority="14">
      <formula>H113&lt;0</formula>
    </cfRule>
  </conditionalFormatting>
  <conditionalFormatting sqref="J109">
    <cfRule type="expression" dxfId="488" priority="11">
      <formula>J109&gt;0</formula>
    </cfRule>
    <cfRule type="expression" dxfId="487" priority="12">
      <formula>J109&lt;0</formula>
    </cfRule>
  </conditionalFormatting>
  <conditionalFormatting sqref="F108:F112">
    <cfRule type="expression" dxfId="486" priority="9">
      <formula>F108&gt;0</formula>
    </cfRule>
    <cfRule type="expression" dxfId="485" priority="10">
      <formula>F108&lt;0</formula>
    </cfRule>
  </conditionalFormatting>
  <conditionalFormatting sqref="H108:H112">
    <cfRule type="expression" dxfId="484" priority="7">
      <formula>H108&gt;0</formula>
    </cfRule>
    <cfRule type="expression" dxfId="483" priority="8">
      <formula>H108&lt;0</formula>
    </cfRule>
  </conditionalFormatting>
  <conditionalFormatting sqref="J110:J113">
    <cfRule type="expression" dxfId="482" priority="5">
      <formula>J110&gt;0</formula>
    </cfRule>
    <cfRule type="expression" dxfId="481" priority="6">
      <formula>J110&lt;0</formula>
    </cfRule>
  </conditionalFormatting>
  <conditionalFormatting sqref="F25:F26">
    <cfRule type="expression" dxfId="480" priority="3">
      <formula>F25&gt;0</formula>
    </cfRule>
    <cfRule type="expression" dxfId="479" priority="4">
      <formula>F25&lt;0</formula>
    </cfRule>
  </conditionalFormatting>
  <conditionalFormatting sqref="Q9">
    <cfRule type="expression" dxfId="478" priority="1">
      <formula>Q9&gt;0</formula>
    </cfRule>
    <cfRule type="expression" dxfId="47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7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7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7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7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37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7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25.72</v>
      </c>
      <c r="R4" s="226">
        <v>-1.6000000000000001E-3</v>
      </c>
      <c r="T4" s="1">
        <v>43096</v>
      </c>
      <c r="U4" t="s">
        <v>803</v>
      </c>
    </row>
    <row r="5" spans="1:29" x14ac:dyDescent="0.25">
      <c r="B5" s="43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7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9773.6</v>
      </c>
      <c r="U5" t="s">
        <v>804</v>
      </c>
    </row>
    <row r="6" spans="1:29" x14ac:dyDescent="0.25">
      <c r="B6" s="437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7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805</v>
      </c>
    </row>
    <row r="7" spans="1:29" x14ac:dyDescent="0.25">
      <c r="B7" s="437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7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-3229.3799999999887</v>
      </c>
      <c r="R7">
        <v>160</v>
      </c>
      <c r="U7" t="s">
        <v>806</v>
      </c>
    </row>
    <row r="8" spans="1:29" x14ac:dyDescent="0.25">
      <c r="B8" s="437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7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-3304.3999999999887</v>
      </c>
      <c r="U8" t="s">
        <v>807</v>
      </c>
    </row>
    <row r="9" spans="1:29" x14ac:dyDescent="0.25">
      <c r="B9" s="437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7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-0.25266860376204242</v>
      </c>
    </row>
    <row r="10" spans="1:29" x14ac:dyDescent="0.25">
      <c r="B10" s="437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854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3.5769828926905133E-2</v>
      </c>
      <c r="R11">
        <f>0.23</f>
        <v>0.23</v>
      </c>
      <c r="U11" t="s">
        <v>856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968</v>
      </c>
      <c r="T12" s="1">
        <v>43110</v>
      </c>
      <c r="U12" t="s">
        <v>885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997</v>
      </c>
      <c r="T13" s="1">
        <v>43112</v>
      </c>
      <c r="U13" t="s">
        <v>881</v>
      </c>
    </row>
    <row r="14" spans="1:29" x14ac:dyDescent="0.25">
      <c r="B14" s="437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882</v>
      </c>
    </row>
    <row r="15" spans="1:29" x14ac:dyDescent="0.25">
      <c r="B15" s="477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78" t="s">
        <v>884</v>
      </c>
    </row>
    <row r="16" spans="1:29" x14ac:dyDescent="0.25">
      <c r="B16" s="477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921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28.292000000000002</v>
      </c>
      <c r="T19" s="1">
        <v>43125</v>
      </c>
      <c r="U19" t="s">
        <v>936</v>
      </c>
    </row>
    <row r="20" spans="1:21" x14ac:dyDescent="0.25">
      <c r="O20" s="81">
        <v>1.0900000000000001</v>
      </c>
      <c r="P20" s="81">
        <f t="shared" ref="P20:P39" si="3">O20*$Q$4</f>
        <v>28.034800000000001</v>
      </c>
      <c r="T20" s="1">
        <v>43126</v>
      </c>
      <c r="U20" t="s">
        <v>934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27.7776</v>
      </c>
      <c r="U21" t="s">
        <v>935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27.520399999999999</v>
      </c>
    </row>
    <row r="23" spans="1:21" x14ac:dyDescent="0.25">
      <c r="O23" s="81">
        <v>1.06</v>
      </c>
      <c r="P23" s="81">
        <f t="shared" si="3"/>
        <v>27.263200000000001</v>
      </c>
      <c r="T23" s="1">
        <v>43128</v>
      </c>
      <c r="U23" t="s">
        <v>937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504</v>
      </c>
      <c r="K24" s="189" t="s">
        <v>150</v>
      </c>
      <c r="O24" s="81">
        <v>1.05</v>
      </c>
      <c r="P24" s="81">
        <f t="shared" si="3"/>
        <v>27.006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26.748799999999999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26.491599999999998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26.234400000000001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25.9772</v>
      </c>
      <c r="T28" s="779">
        <v>43136</v>
      </c>
      <c r="U28" t="s">
        <v>883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25.72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25.462799999999998</v>
      </c>
      <c r="T30" s="1">
        <v>43175</v>
      </c>
      <c r="U30" t="s">
        <v>980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25.205599999999997</v>
      </c>
      <c r="T31" s="1">
        <v>43178</v>
      </c>
      <c r="U31" t="s">
        <v>984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24.948399999999999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24.691199999999998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24.433999999999997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24.176799999999997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23.919599999999999</v>
      </c>
    </row>
    <row r="37" spans="1:18" x14ac:dyDescent="0.25">
      <c r="A37">
        <v>440</v>
      </c>
      <c r="B37" s="187">
        <v>43089</v>
      </c>
      <c r="C37" s="468">
        <v>500</v>
      </c>
      <c r="D37" s="470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796</v>
      </c>
      <c r="J37" s="39"/>
      <c r="K37" s="39"/>
      <c r="O37" s="81">
        <v>0.92</v>
      </c>
      <c r="P37" s="81">
        <f t="shared" si="3"/>
        <v>23.662400000000002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23.405200000000001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23.148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855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880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7"/>
      <c r="C52" s="10"/>
      <c r="D52" s="39"/>
      <c r="E52" s="39"/>
      <c r="F52" s="39"/>
      <c r="G52" s="39"/>
      <c r="H52" s="226"/>
      <c r="I52" s="39"/>
      <c r="J52" s="39"/>
      <c r="K52" s="39"/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1" t="s">
        <v>1</v>
      </c>
      <c r="B62" s="371" t="s">
        <v>2</v>
      </c>
      <c r="C62" s="371" t="s">
        <v>4</v>
      </c>
      <c r="D62" s="373" t="s">
        <v>5</v>
      </c>
      <c r="E62" s="373" t="s">
        <v>94</v>
      </c>
      <c r="F62" s="373" t="s">
        <v>60</v>
      </c>
      <c r="G62" s="371" t="s">
        <v>3</v>
      </c>
      <c r="H62" s="371" t="s">
        <v>6</v>
      </c>
      <c r="I62" s="373" t="s">
        <v>7</v>
      </c>
      <c r="J62" s="373" t="s">
        <v>95</v>
      </c>
      <c r="K62" s="373" t="s">
        <v>61</v>
      </c>
      <c r="L62" s="371" t="s">
        <v>77</v>
      </c>
      <c r="M62" s="371" t="s">
        <v>38</v>
      </c>
      <c r="Q62" s="81"/>
    </row>
    <row r="63" spans="1:18" x14ac:dyDescent="0.25">
      <c r="A63" s="374" t="s">
        <v>174</v>
      </c>
      <c r="B63" s="364">
        <v>42376</v>
      </c>
      <c r="C63" s="365">
        <v>60</v>
      </c>
      <c r="D63" s="366">
        <v>41.01</v>
      </c>
      <c r="E63" s="366">
        <v>0</v>
      </c>
      <c r="F63" s="366">
        <f>C63*D63</f>
        <v>2460.6</v>
      </c>
      <c r="G63" s="364">
        <v>42426</v>
      </c>
      <c r="H63" s="369">
        <v>20</v>
      </c>
      <c r="I63" s="366">
        <v>38.450000000000003</v>
      </c>
      <c r="J63" s="366">
        <v>0.02</v>
      </c>
      <c r="K63" s="366">
        <f>H63*I63-J63</f>
        <v>768.98</v>
      </c>
      <c r="L63" s="364">
        <v>42444</v>
      </c>
      <c r="M63" s="366">
        <v>15.2</v>
      </c>
      <c r="Q63" s="81"/>
    </row>
    <row r="64" spans="1:18" x14ac:dyDescent="0.25">
      <c r="A64" s="375" t="s">
        <v>71</v>
      </c>
      <c r="B64" s="364">
        <v>42403</v>
      </c>
      <c r="C64" s="365">
        <v>20</v>
      </c>
      <c r="D64" s="366">
        <v>35.5</v>
      </c>
      <c r="E64" s="366">
        <v>0</v>
      </c>
      <c r="F64" s="366">
        <f>C64*D64</f>
        <v>710</v>
      </c>
      <c r="G64" s="364">
        <v>42426</v>
      </c>
      <c r="H64" s="369">
        <v>30</v>
      </c>
      <c r="I64" s="366">
        <v>38.75</v>
      </c>
      <c r="J64" s="366">
        <v>0.03</v>
      </c>
      <c r="K64" s="366">
        <f>H64*I64-J64</f>
        <v>1162.47</v>
      </c>
      <c r="L64" s="365"/>
      <c r="M64" s="365"/>
      <c r="O64" s="33"/>
    </row>
    <row r="65" spans="1:15" x14ac:dyDescent="0.25">
      <c r="A65" s="365"/>
      <c r="B65" s="365"/>
      <c r="C65" s="365"/>
      <c r="D65" s="366"/>
      <c r="E65" s="366"/>
      <c r="F65" s="366"/>
      <c r="G65" s="364">
        <v>42447</v>
      </c>
      <c r="H65" s="369">
        <v>30</v>
      </c>
      <c r="I65" s="366">
        <v>43.3</v>
      </c>
      <c r="J65" s="366">
        <v>0.03</v>
      </c>
      <c r="K65" s="366">
        <f>H65*I65-J65</f>
        <v>1298.97</v>
      </c>
      <c r="L65" s="365"/>
      <c r="M65" s="365"/>
    </row>
    <row r="66" spans="1:15" x14ac:dyDescent="0.25">
      <c r="A66" s="365"/>
      <c r="B66" s="365"/>
      <c r="C66" s="365"/>
      <c r="D66" s="366"/>
      <c r="E66" s="366"/>
      <c r="F66" s="366"/>
      <c r="G66" s="365"/>
      <c r="H66" s="365"/>
      <c r="I66" s="366"/>
      <c r="J66" s="366"/>
      <c r="K66" s="366"/>
      <c r="L66" s="365"/>
      <c r="M66" s="365"/>
    </row>
    <row r="67" spans="1:15" x14ac:dyDescent="0.25">
      <c r="A67" s="365"/>
      <c r="B67" s="365"/>
      <c r="C67" s="365"/>
      <c r="D67" s="366"/>
      <c r="E67" s="366"/>
      <c r="F67" s="366"/>
      <c r="G67" s="365"/>
      <c r="H67" s="365"/>
      <c r="I67" s="366"/>
      <c r="J67" s="366"/>
      <c r="K67" s="366"/>
      <c r="L67" s="365"/>
      <c r="M67" s="365"/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5">C82*(E82-D82)</f>
        <v>-94.799999999999898</v>
      </c>
      <c r="G82" s="254">
        <f t="shared" ref="G82:G88" si="26">D82*C82</f>
        <v>2401.8000000000002</v>
      </c>
      <c r="H82" s="268">
        <f t="shared" ref="H82:H88" si="27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5"/>
        <v>-86.100000000000136</v>
      </c>
      <c r="G83" s="254">
        <f t="shared" si="26"/>
        <v>1239.3000000000002</v>
      </c>
      <c r="H83" s="266">
        <f t="shared" si="27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5"/>
        <v>-54.000000000000128</v>
      </c>
      <c r="G84" s="254">
        <f t="shared" si="26"/>
        <v>1239.3000000000002</v>
      </c>
      <c r="H84" s="266">
        <f t="shared" si="27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5"/>
        <v>-29.849999999999923</v>
      </c>
      <c r="G85" s="254">
        <f t="shared" si="26"/>
        <v>1239.1500000000001</v>
      </c>
      <c r="H85" s="266">
        <f t="shared" si="27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5"/>
        <v>-9.7500000000000853</v>
      </c>
      <c r="G86" s="254">
        <f t="shared" si="26"/>
        <v>1239.1500000000001</v>
      </c>
      <c r="H86" s="266">
        <f t="shared" si="27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5"/>
        <v>-51.449999999999889</v>
      </c>
      <c r="G87" s="254">
        <f t="shared" si="26"/>
        <v>1239.1500000000001</v>
      </c>
      <c r="H87" s="266">
        <f t="shared" si="27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5"/>
        <v>1.9499999999999318</v>
      </c>
      <c r="G88" s="254">
        <f t="shared" si="26"/>
        <v>1239.1500000000001</v>
      </c>
      <c r="H88" s="266">
        <f t="shared" si="27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65" priority="65">
      <formula>F29&gt;0</formula>
    </cfRule>
    <cfRule type="expression" dxfId="464" priority="66">
      <formula>F29&lt;0</formula>
    </cfRule>
  </conditionalFormatting>
  <conditionalFormatting sqref="H29:H31">
    <cfRule type="expression" dxfId="463" priority="63">
      <formula>H29&gt;0</formula>
    </cfRule>
    <cfRule type="expression" dxfId="462" priority="64">
      <formula>H29&lt;0</formula>
    </cfRule>
  </conditionalFormatting>
  <conditionalFormatting sqref="H32">
    <cfRule type="expression" dxfId="461" priority="61">
      <formula>H32&gt;0</formula>
    </cfRule>
    <cfRule type="expression" dxfId="460" priority="62">
      <formula>H32&lt;0</formula>
    </cfRule>
  </conditionalFormatting>
  <conditionalFormatting sqref="H33">
    <cfRule type="expression" dxfId="459" priority="59">
      <formula>H33&gt;0</formula>
    </cfRule>
    <cfRule type="expression" dxfId="458" priority="60">
      <formula>H33&lt;0</formula>
    </cfRule>
  </conditionalFormatting>
  <conditionalFormatting sqref="F25:F28">
    <cfRule type="expression" dxfId="457" priority="55">
      <formula>F25&gt;0</formula>
    </cfRule>
    <cfRule type="expression" dxfId="456" priority="56">
      <formula>F25&lt;0</formula>
    </cfRule>
  </conditionalFormatting>
  <conditionalFormatting sqref="H25:H28">
    <cfRule type="expression" dxfId="455" priority="53">
      <formula>H25&gt;0</formula>
    </cfRule>
    <cfRule type="expression" dxfId="454" priority="54">
      <formula>H25&lt;0</formula>
    </cfRule>
  </conditionalFormatting>
  <conditionalFormatting sqref="F34:F35">
    <cfRule type="expression" dxfId="453" priority="49">
      <formula>F34&gt;0</formula>
    </cfRule>
    <cfRule type="expression" dxfId="452" priority="50">
      <formula>F34&lt;0</formula>
    </cfRule>
  </conditionalFormatting>
  <conditionalFormatting sqref="I29:K31">
    <cfRule type="expression" dxfId="451" priority="47">
      <formula>I29&gt;0</formula>
    </cfRule>
    <cfRule type="expression" dxfId="450" priority="48">
      <formula>I29&lt;0</formula>
    </cfRule>
  </conditionalFormatting>
  <conditionalFormatting sqref="I38:I43 I35:K36">
    <cfRule type="expression" dxfId="449" priority="41">
      <formula>I35&gt;0</formula>
    </cfRule>
    <cfRule type="expression" dxfId="448" priority="42">
      <formula>I35&lt;0</formula>
    </cfRule>
  </conditionalFormatting>
  <conditionalFormatting sqref="I25:K28">
    <cfRule type="expression" dxfId="447" priority="39">
      <formula>I25&gt;0</formula>
    </cfRule>
    <cfRule type="expression" dxfId="446" priority="40">
      <formula>I25&lt;0</formula>
    </cfRule>
  </conditionalFormatting>
  <conditionalFormatting sqref="F36:F47">
    <cfRule type="expression" dxfId="445" priority="37">
      <formula>F36&gt;0</formula>
    </cfRule>
    <cfRule type="expression" dxfId="444" priority="38">
      <formula>F36&lt;0</formula>
    </cfRule>
  </conditionalFormatting>
  <conditionalFormatting sqref="Q8">
    <cfRule type="expression" dxfId="443" priority="33">
      <formula>Q8&gt;0</formula>
    </cfRule>
    <cfRule type="expression" dxfId="442" priority="34">
      <formula>Q8&lt;0</formula>
    </cfRule>
  </conditionalFormatting>
  <conditionalFormatting sqref="Q7">
    <cfRule type="expression" dxfId="441" priority="35">
      <formula>Q7&gt;0</formula>
    </cfRule>
    <cfRule type="expression" dxfId="440" priority="36">
      <formula>Q7&lt;0</formula>
    </cfRule>
  </conditionalFormatting>
  <conditionalFormatting sqref="F83:F87">
    <cfRule type="expression" dxfId="439" priority="31">
      <formula>F83&gt;0</formula>
    </cfRule>
    <cfRule type="expression" dxfId="438" priority="32">
      <formula>F83&lt;0</formula>
    </cfRule>
  </conditionalFormatting>
  <conditionalFormatting sqref="H83:H85">
    <cfRule type="expression" dxfId="437" priority="29">
      <formula>H83&gt;0</formula>
    </cfRule>
    <cfRule type="expression" dxfId="436" priority="30">
      <formula>H83&lt;0</formula>
    </cfRule>
  </conditionalFormatting>
  <conditionalFormatting sqref="H86">
    <cfRule type="expression" dxfId="435" priority="27">
      <formula>H86&gt;0</formula>
    </cfRule>
    <cfRule type="expression" dxfId="434" priority="28">
      <formula>H86&lt;0</formula>
    </cfRule>
  </conditionalFormatting>
  <conditionalFormatting sqref="H87">
    <cfRule type="expression" dxfId="433" priority="25">
      <formula>H87&gt;0</formula>
    </cfRule>
    <cfRule type="expression" dxfId="432" priority="26">
      <formula>H87&lt;0</formula>
    </cfRule>
  </conditionalFormatting>
  <conditionalFormatting sqref="H88:H92">
    <cfRule type="expression" dxfId="431" priority="23">
      <formula>H88&gt;0</formula>
    </cfRule>
    <cfRule type="expression" dxfId="430" priority="24">
      <formula>H88&lt;0</formula>
    </cfRule>
  </conditionalFormatting>
  <conditionalFormatting sqref="F79:F82">
    <cfRule type="expression" dxfId="429" priority="21">
      <formula>F79&gt;0</formula>
    </cfRule>
    <cfRule type="expression" dxfId="428" priority="22">
      <formula>F79&lt;0</formula>
    </cfRule>
  </conditionalFormatting>
  <conditionalFormatting sqref="H79:H82">
    <cfRule type="expression" dxfId="427" priority="19">
      <formula>H79&gt;0</formula>
    </cfRule>
    <cfRule type="expression" dxfId="426" priority="20">
      <formula>H79&lt;0</formula>
    </cfRule>
  </conditionalFormatting>
  <conditionalFormatting sqref="F88:F89">
    <cfRule type="expression" dxfId="425" priority="17">
      <formula>F88&gt;0</formula>
    </cfRule>
    <cfRule type="expression" dxfId="424" priority="18">
      <formula>F88&lt;0</formula>
    </cfRule>
  </conditionalFormatting>
  <conditionalFormatting sqref="I83:I85">
    <cfRule type="expression" dxfId="423" priority="15">
      <formula>I83&gt;0</formula>
    </cfRule>
    <cfRule type="expression" dxfId="422" priority="16">
      <formula>I83&lt;0</formula>
    </cfRule>
  </conditionalFormatting>
  <conditionalFormatting sqref="I86">
    <cfRule type="expression" dxfId="421" priority="13">
      <formula>I86&gt;0</formula>
    </cfRule>
    <cfRule type="expression" dxfId="420" priority="14">
      <formula>I86&lt;0</formula>
    </cfRule>
  </conditionalFormatting>
  <conditionalFormatting sqref="I87">
    <cfRule type="expression" dxfId="419" priority="11">
      <formula>I87&gt;0</formula>
    </cfRule>
    <cfRule type="expression" dxfId="418" priority="12">
      <formula>I87&lt;0</formula>
    </cfRule>
  </conditionalFormatting>
  <conditionalFormatting sqref="I88:I92">
    <cfRule type="expression" dxfId="417" priority="9">
      <formula>I88&gt;0</formula>
    </cfRule>
    <cfRule type="expression" dxfId="416" priority="10">
      <formula>I88&lt;0</formula>
    </cfRule>
  </conditionalFormatting>
  <conditionalFormatting sqref="I79:I82">
    <cfRule type="expression" dxfId="415" priority="7">
      <formula>I79&gt;0</formula>
    </cfRule>
    <cfRule type="expression" dxfId="414" priority="8">
      <formula>I79&lt;0</formula>
    </cfRule>
  </conditionalFormatting>
  <conditionalFormatting sqref="F90">
    <cfRule type="expression" dxfId="413" priority="5">
      <formula>F90&gt;0</formula>
    </cfRule>
    <cfRule type="expression" dxfId="412" priority="6">
      <formula>F90&lt;0</formula>
    </cfRule>
  </conditionalFormatting>
  <conditionalFormatting sqref="H50:K50 F50:F51 H51">
    <cfRule type="expression" dxfId="411" priority="3">
      <formula>F50&gt;0</formula>
    </cfRule>
    <cfRule type="expression" dxfId="410" priority="4">
      <formula>F50&lt;0</formula>
    </cfRule>
  </conditionalFormatting>
  <conditionalFormatting sqref="R4">
    <cfRule type="expression" dxfId="409" priority="1">
      <formula>R4&gt;0</formula>
    </cfRule>
    <cfRule type="expression" dxfId="408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78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3" t="s">
        <v>5</v>
      </c>
      <c r="E31" s="373" t="s">
        <v>94</v>
      </c>
      <c r="F31" s="373" t="s">
        <v>60</v>
      </c>
      <c r="G31" s="371" t="s">
        <v>3</v>
      </c>
      <c r="H31" s="371" t="s">
        <v>6</v>
      </c>
      <c r="I31" s="373" t="s">
        <v>7</v>
      </c>
      <c r="J31" s="373" t="s">
        <v>95</v>
      </c>
      <c r="K31" s="373" t="s">
        <v>61</v>
      </c>
      <c r="L31" s="371" t="s">
        <v>77</v>
      </c>
      <c r="M31" s="37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4" t="s">
        <v>24</v>
      </c>
      <c r="B32" s="364">
        <v>42156</v>
      </c>
      <c r="C32" s="365">
        <v>5</v>
      </c>
      <c r="D32" s="366">
        <v>48.55</v>
      </c>
      <c r="E32" s="366">
        <v>0</v>
      </c>
      <c r="F32" s="366">
        <f>C32*D32</f>
        <v>242.75</v>
      </c>
      <c r="G32" s="364">
        <v>42186</v>
      </c>
      <c r="H32" s="365">
        <v>100</v>
      </c>
      <c r="I32" s="366">
        <v>44.99</v>
      </c>
      <c r="J32" s="366">
        <v>0.08</v>
      </c>
      <c r="K32" s="366">
        <f>H32*I32-J32</f>
        <v>4498.92</v>
      </c>
      <c r="L32" s="365" t="s">
        <v>80</v>
      </c>
      <c r="M32" s="36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5" t="s">
        <v>71</v>
      </c>
      <c r="B33" s="364">
        <v>42156</v>
      </c>
      <c r="C33" s="365">
        <v>5</v>
      </c>
      <c r="D33" s="366">
        <v>47.01</v>
      </c>
      <c r="E33" s="366">
        <v>0</v>
      </c>
      <c r="F33" s="366">
        <f t="shared" ref="F33:F44" si="2">C33*D33</f>
        <v>235.04999999999998</v>
      </c>
      <c r="G33" s="364">
        <v>42227</v>
      </c>
      <c r="H33" s="365">
        <v>100</v>
      </c>
      <c r="I33" s="366">
        <v>43</v>
      </c>
      <c r="J33" s="366">
        <v>0.08</v>
      </c>
      <c r="K33" s="366">
        <f>H33*I33-J33</f>
        <v>4299.92</v>
      </c>
      <c r="L33" s="365"/>
      <c r="M33" s="36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5"/>
      <c r="B34" s="364">
        <v>42156</v>
      </c>
      <c r="C34" s="365">
        <v>10</v>
      </c>
      <c r="D34" s="366">
        <v>46.5</v>
      </c>
      <c r="E34" s="366">
        <v>0</v>
      </c>
      <c r="F34" s="366">
        <f t="shared" si="2"/>
        <v>465</v>
      </c>
      <c r="G34" s="364">
        <v>42312</v>
      </c>
      <c r="H34" s="369">
        <v>40</v>
      </c>
      <c r="I34" s="366">
        <v>42.5</v>
      </c>
      <c r="J34" s="366">
        <v>0.03</v>
      </c>
      <c r="K34" s="366">
        <f>H34*I34-J34</f>
        <v>1699.97</v>
      </c>
      <c r="L34" s="365"/>
      <c r="M34" s="36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5"/>
      <c r="B35" s="364">
        <v>42156</v>
      </c>
      <c r="C35" s="365">
        <v>50</v>
      </c>
      <c r="D35" s="366">
        <v>45.95</v>
      </c>
      <c r="E35" s="366">
        <v>0</v>
      </c>
      <c r="F35" s="366">
        <f t="shared" si="2"/>
        <v>2297.5</v>
      </c>
      <c r="G35" s="364">
        <v>42318</v>
      </c>
      <c r="H35" s="369">
        <v>14</v>
      </c>
      <c r="I35" s="366">
        <v>43.5</v>
      </c>
      <c r="J35" s="366">
        <v>0.01</v>
      </c>
      <c r="K35" s="366">
        <f t="shared" ref="K35:K42" si="3">H35*I35-J35</f>
        <v>608.99</v>
      </c>
      <c r="L35" s="365"/>
      <c r="M35" s="36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5"/>
      <c r="B36" s="364">
        <v>42156</v>
      </c>
      <c r="C36" s="365">
        <v>30</v>
      </c>
      <c r="D36" s="366">
        <v>45.95</v>
      </c>
      <c r="E36" s="366">
        <v>0</v>
      </c>
      <c r="F36" s="366">
        <f t="shared" si="2"/>
        <v>1378.5</v>
      </c>
      <c r="G36" s="364">
        <v>42318</v>
      </c>
      <c r="H36" s="369">
        <v>26</v>
      </c>
      <c r="I36" s="366">
        <v>43.78</v>
      </c>
      <c r="J36" s="366">
        <v>0.02</v>
      </c>
      <c r="K36" s="366">
        <f t="shared" si="3"/>
        <v>1138.26</v>
      </c>
      <c r="L36" s="365"/>
      <c r="M36" s="36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5"/>
      <c r="B37" s="364">
        <v>42186</v>
      </c>
      <c r="C37" s="365">
        <v>100</v>
      </c>
      <c r="D37" s="366">
        <v>44.9</v>
      </c>
      <c r="E37" s="366">
        <v>0</v>
      </c>
      <c r="F37" s="366">
        <f t="shared" si="2"/>
        <v>4490</v>
      </c>
      <c r="G37" s="364">
        <v>42320</v>
      </c>
      <c r="H37" s="369">
        <v>10</v>
      </c>
      <c r="I37" s="366">
        <v>43.9</v>
      </c>
      <c r="J37" s="366">
        <v>0.01</v>
      </c>
      <c r="K37" s="366">
        <f t="shared" si="3"/>
        <v>438.99</v>
      </c>
      <c r="L37" s="365"/>
      <c r="M37" s="36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5"/>
      <c r="B38" s="364">
        <v>42206</v>
      </c>
      <c r="C38" s="365">
        <v>20</v>
      </c>
      <c r="D38" s="366">
        <v>41.2</v>
      </c>
      <c r="E38" s="366">
        <v>0</v>
      </c>
      <c r="F38" s="366">
        <f t="shared" si="2"/>
        <v>824</v>
      </c>
      <c r="G38" s="364">
        <v>42333</v>
      </c>
      <c r="H38" s="369">
        <v>50</v>
      </c>
      <c r="I38" s="366">
        <v>41.67</v>
      </c>
      <c r="J38" s="366">
        <v>0.04</v>
      </c>
      <c r="K38" s="366">
        <f t="shared" si="3"/>
        <v>2083.46</v>
      </c>
      <c r="L38" s="365"/>
      <c r="M38" s="36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5"/>
      <c r="B39" s="364">
        <v>42207</v>
      </c>
      <c r="C39" s="365">
        <v>20</v>
      </c>
      <c r="D39" s="366">
        <v>40.68</v>
      </c>
      <c r="E39" s="366">
        <v>0</v>
      </c>
      <c r="F39" s="366">
        <f t="shared" si="2"/>
        <v>813.6</v>
      </c>
      <c r="G39" s="364">
        <v>42335</v>
      </c>
      <c r="H39" s="369">
        <v>50</v>
      </c>
      <c r="I39" s="366">
        <v>41.85</v>
      </c>
      <c r="J39" s="366">
        <v>0.04</v>
      </c>
      <c r="K39" s="366">
        <f t="shared" si="3"/>
        <v>2092.46</v>
      </c>
      <c r="L39" s="365"/>
      <c r="M39" s="36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5"/>
      <c r="B40" s="364">
        <v>42292</v>
      </c>
      <c r="C40" s="365">
        <v>40</v>
      </c>
      <c r="D40" s="366">
        <v>41.65</v>
      </c>
      <c r="E40" s="366">
        <v>0</v>
      </c>
      <c r="F40" s="366">
        <f t="shared" si="2"/>
        <v>1666</v>
      </c>
      <c r="G40" s="364">
        <v>42335</v>
      </c>
      <c r="H40" s="369">
        <v>50</v>
      </c>
      <c r="I40" s="366">
        <v>42.4</v>
      </c>
      <c r="J40" s="366">
        <v>0.04</v>
      </c>
      <c r="K40" s="366">
        <f t="shared" si="3"/>
        <v>2119.96</v>
      </c>
      <c r="L40" s="365"/>
      <c r="M40" s="36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5"/>
      <c r="B41" s="364">
        <v>42298</v>
      </c>
      <c r="C41" s="365">
        <v>80</v>
      </c>
      <c r="D41" s="366">
        <v>40.450000000000003</v>
      </c>
      <c r="E41" s="366">
        <v>0</v>
      </c>
      <c r="F41" s="366">
        <f t="shared" si="2"/>
        <v>3236</v>
      </c>
      <c r="G41" s="364">
        <v>42398</v>
      </c>
      <c r="H41" s="369">
        <v>50</v>
      </c>
      <c r="I41" s="366">
        <v>39.65</v>
      </c>
      <c r="J41" s="366">
        <v>0.04</v>
      </c>
      <c r="K41" s="366">
        <f t="shared" si="3"/>
        <v>1982.46</v>
      </c>
      <c r="L41" s="365"/>
      <c r="M41" s="36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5"/>
      <c r="B42" s="364">
        <v>42298</v>
      </c>
      <c r="C42" s="365">
        <v>80</v>
      </c>
      <c r="D42" s="366">
        <v>39.9</v>
      </c>
      <c r="E42" s="366">
        <v>0</v>
      </c>
      <c r="F42" s="366">
        <f t="shared" si="2"/>
        <v>3192</v>
      </c>
      <c r="G42" s="364">
        <v>42408</v>
      </c>
      <c r="H42" s="369">
        <v>50</v>
      </c>
      <c r="I42" s="366">
        <v>51.5</v>
      </c>
      <c r="J42" s="366">
        <v>0.05</v>
      </c>
      <c r="K42" s="366">
        <f t="shared" si="3"/>
        <v>2574.9499999999998</v>
      </c>
      <c r="L42" s="365"/>
      <c r="M42" s="365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5"/>
      <c r="B43" s="364">
        <v>42333</v>
      </c>
      <c r="C43" s="365">
        <v>50</v>
      </c>
      <c r="D43" s="366">
        <v>41.2</v>
      </c>
      <c r="E43" s="366">
        <v>0</v>
      </c>
      <c r="F43" s="366">
        <f t="shared" si="2"/>
        <v>2060</v>
      </c>
      <c r="G43" s="365"/>
      <c r="H43" s="365"/>
      <c r="I43" s="366"/>
      <c r="J43" s="366"/>
      <c r="K43" s="366"/>
      <c r="L43" s="365"/>
      <c r="M43" s="365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5"/>
      <c r="B44" s="364">
        <v>42377</v>
      </c>
      <c r="C44" s="365">
        <v>50</v>
      </c>
      <c r="D44" s="366">
        <v>37.85</v>
      </c>
      <c r="E44" s="366">
        <v>0</v>
      </c>
      <c r="F44" s="366">
        <f t="shared" si="2"/>
        <v>1892.5</v>
      </c>
      <c r="G44" s="365"/>
      <c r="H44" s="365"/>
      <c r="I44" s="366"/>
      <c r="J44" s="366"/>
      <c r="K44" s="366"/>
      <c r="L44" s="365"/>
      <c r="M44" s="365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5"/>
      <c r="M45" s="365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5"/>
      <c r="B46" s="364"/>
      <c r="C46" s="365"/>
      <c r="D46" s="366"/>
      <c r="E46" s="366"/>
      <c r="F46" s="366"/>
      <c r="G46" s="365"/>
      <c r="H46" s="365"/>
      <c r="I46" s="366"/>
      <c r="J46" s="366"/>
      <c r="K46" s="366"/>
      <c r="L46" s="365"/>
      <c r="M46" s="365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5"/>
      <c r="B47" s="364"/>
      <c r="C47" s="365"/>
      <c r="D47" s="366"/>
      <c r="E47" s="366"/>
      <c r="F47" s="366"/>
      <c r="G47" s="365"/>
      <c r="H47" s="365"/>
      <c r="I47" s="366"/>
      <c r="J47" s="366"/>
      <c r="K47" s="366"/>
      <c r="L47" s="365"/>
      <c r="M47" s="365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5"/>
      <c r="I48" s="366"/>
      <c r="J48" s="366"/>
      <c r="K48" s="366"/>
      <c r="L48" s="365"/>
      <c r="M48" s="365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5"/>
      <c r="I49" s="366"/>
      <c r="J49" s="366"/>
      <c r="K49" s="366"/>
      <c r="L49" s="365"/>
      <c r="M49" s="365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5"/>
      <c r="B50" s="364"/>
      <c r="C50" s="365"/>
      <c r="D50" s="366"/>
      <c r="E50" s="366"/>
      <c r="F50" s="366"/>
      <c r="G50" s="365"/>
      <c r="H50" s="365"/>
      <c r="I50" s="366"/>
      <c r="J50" s="366"/>
      <c r="K50" s="366"/>
      <c r="L50" s="365"/>
      <c r="M50" s="365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5"/>
      <c r="B51" s="364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5"/>
      <c r="B53" s="365"/>
      <c r="C53" s="365"/>
      <c r="D53" s="366"/>
      <c r="E53" s="366"/>
      <c r="F53" s="366"/>
      <c r="G53" s="366"/>
      <c r="H53" s="365"/>
      <c r="I53" s="366"/>
      <c r="J53" s="366"/>
      <c r="K53" s="366"/>
      <c r="L53" s="365"/>
      <c r="M53" s="365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78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7" t="s">
        <v>78</v>
      </c>
      <c r="P35" s="84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78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4" t="s">
        <v>47</v>
      </c>
      <c r="B35" s="364">
        <v>42185</v>
      </c>
      <c r="C35" s="365">
        <v>10</v>
      </c>
      <c r="D35" s="366">
        <v>88.85</v>
      </c>
      <c r="E35" s="366">
        <v>0</v>
      </c>
      <c r="F35" s="366">
        <f t="shared" ref="F35:F40" si="2">C35*D35</f>
        <v>888.5</v>
      </c>
      <c r="G35" s="364">
        <v>42310</v>
      </c>
      <c r="H35" s="369">
        <v>75</v>
      </c>
      <c r="I35" s="366">
        <v>80.650000000000006</v>
      </c>
      <c r="J35" s="365">
        <v>7.06</v>
      </c>
      <c r="K35" s="365">
        <f>H35*I35-J35</f>
        <v>6041.69</v>
      </c>
      <c r="L35" s="364">
        <v>42257</v>
      </c>
      <c r="M35" s="366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5" t="s">
        <v>71</v>
      </c>
      <c r="B36" s="364">
        <v>42214</v>
      </c>
      <c r="C36" s="365">
        <v>10</v>
      </c>
      <c r="D36" s="366">
        <v>83</v>
      </c>
      <c r="E36" s="366">
        <v>0</v>
      </c>
      <c r="F36" s="366">
        <f t="shared" si="2"/>
        <v>830</v>
      </c>
      <c r="G36" s="364">
        <v>42335</v>
      </c>
      <c r="H36" s="369">
        <v>60</v>
      </c>
      <c r="I36" s="366">
        <v>95.71</v>
      </c>
      <c r="J36" s="366">
        <v>0.11</v>
      </c>
      <c r="K36" s="365">
        <f>H36*I36-J36</f>
        <v>5742.49</v>
      </c>
      <c r="L36" s="365"/>
      <c r="M36" s="366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5"/>
      <c r="B37" s="364">
        <v>42221</v>
      </c>
      <c r="C37" s="365">
        <v>30</v>
      </c>
      <c r="D37" s="366">
        <v>84.6</v>
      </c>
      <c r="E37" s="366">
        <v>0</v>
      </c>
      <c r="F37" s="366">
        <f t="shared" si="2"/>
        <v>2538</v>
      </c>
      <c r="G37" s="365"/>
      <c r="H37" s="369"/>
      <c r="I37" s="365"/>
      <c r="J37" s="365"/>
      <c r="K37" s="365"/>
      <c r="L37" s="365"/>
      <c r="M37" s="366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5"/>
      <c r="B38" s="364">
        <v>42222</v>
      </c>
      <c r="C38" s="365">
        <v>10</v>
      </c>
      <c r="D38" s="366">
        <v>83.08</v>
      </c>
      <c r="E38" s="366">
        <v>0</v>
      </c>
      <c r="F38" s="366">
        <f t="shared" si="2"/>
        <v>830.8</v>
      </c>
      <c r="G38" s="365"/>
      <c r="H38" s="369"/>
      <c r="I38" s="365"/>
      <c r="J38" s="365"/>
      <c r="K38" s="365"/>
      <c r="L38" s="365"/>
      <c r="M38" s="366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5"/>
      <c r="B39" s="364">
        <v>42272</v>
      </c>
      <c r="C39" s="365">
        <v>15</v>
      </c>
      <c r="D39" s="366">
        <v>77.3</v>
      </c>
      <c r="E39" s="366">
        <v>0</v>
      </c>
      <c r="F39" s="366">
        <f t="shared" si="2"/>
        <v>1159.5</v>
      </c>
      <c r="G39" s="365"/>
      <c r="H39" s="369"/>
      <c r="I39" s="365"/>
      <c r="J39" s="365"/>
      <c r="K39" s="365"/>
      <c r="L39" s="365"/>
      <c r="M39" s="365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5"/>
      <c r="B40" s="364">
        <v>42335</v>
      </c>
      <c r="C40" s="365">
        <v>60</v>
      </c>
      <c r="D40" s="366">
        <v>95.69</v>
      </c>
      <c r="E40" s="366">
        <v>0</v>
      </c>
      <c r="F40" s="366">
        <f t="shared" si="2"/>
        <v>5741.4</v>
      </c>
      <c r="G40" s="365"/>
      <c r="H40" s="369"/>
      <c r="I40" s="365"/>
      <c r="J40" s="365"/>
      <c r="K40" s="365"/>
      <c r="L40" s="365"/>
      <c r="M40" s="365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9"/>
      <c r="I41" s="365"/>
      <c r="J41" s="365"/>
      <c r="K41" s="365"/>
      <c r="L41" s="365"/>
      <c r="M41" s="365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78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7" t="s">
        <v>78</v>
      </c>
      <c r="P41" s="84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8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28">
        <v>450</v>
      </c>
      <c r="D40" s="42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7" t="s">
        <v>78</v>
      </c>
      <c r="P40" s="84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28">
        <v>450</v>
      </c>
      <c r="D44" s="42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1" t="s">
        <v>1</v>
      </c>
      <c r="B76" s="371" t="s">
        <v>2</v>
      </c>
      <c r="C76" s="371" t="s">
        <v>4</v>
      </c>
      <c r="D76" s="373" t="s">
        <v>5</v>
      </c>
      <c r="E76" s="373" t="s">
        <v>94</v>
      </c>
      <c r="F76" s="373" t="s">
        <v>60</v>
      </c>
      <c r="G76" s="371" t="s">
        <v>3</v>
      </c>
      <c r="H76" s="371" t="s">
        <v>6</v>
      </c>
      <c r="I76" s="373" t="s">
        <v>7</v>
      </c>
      <c r="J76" s="373" t="s">
        <v>95</v>
      </c>
      <c r="K76" s="373" t="s">
        <v>61</v>
      </c>
      <c r="L76" s="371" t="s">
        <v>37</v>
      </c>
      <c r="M76" s="371" t="s">
        <v>38</v>
      </c>
    </row>
    <row r="77" spans="1:31" x14ac:dyDescent="0.25">
      <c r="A77" s="374" t="s">
        <v>13</v>
      </c>
      <c r="B77" s="364">
        <v>42485</v>
      </c>
      <c r="C77" s="365">
        <v>80</v>
      </c>
      <c r="D77" s="366">
        <v>49.5</v>
      </c>
      <c r="E77" s="366">
        <v>0</v>
      </c>
      <c r="F77" s="366">
        <f t="shared" ref="F77:F85" si="9">D77*C77+E77</f>
        <v>3960</v>
      </c>
      <c r="G77" s="365"/>
      <c r="H77" s="365"/>
      <c r="I77" s="366"/>
      <c r="J77" s="366"/>
      <c r="K77" s="366"/>
      <c r="L77" s="364"/>
      <c r="M77" s="365"/>
    </row>
    <row r="78" spans="1:31" x14ac:dyDescent="0.25">
      <c r="A78" s="375" t="s">
        <v>71</v>
      </c>
      <c r="B78" s="364">
        <v>42489</v>
      </c>
      <c r="C78" s="365">
        <v>20</v>
      </c>
      <c r="D78" s="366">
        <v>46.95</v>
      </c>
      <c r="E78" s="366">
        <v>0</v>
      </c>
      <c r="F78" s="366">
        <f t="shared" si="9"/>
        <v>939</v>
      </c>
      <c r="G78" s="365"/>
      <c r="H78" s="366"/>
      <c r="I78" s="366"/>
      <c r="J78" s="366"/>
      <c r="K78" s="366"/>
      <c r="L78" s="365"/>
      <c r="M78" s="365"/>
    </row>
    <row r="79" spans="1:31" x14ac:dyDescent="0.25">
      <c r="A79" s="365"/>
      <c r="B79" s="364">
        <v>42489</v>
      </c>
      <c r="C79" s="365">
        <v>50</v>
      </c>
      <c r="D79" s="366">
        <v>45.91</v>
      </c>
      <c r="E79" s="366">
        <v>0</v>
      </c>
      <c r="F79" s="366">
        <f t="shared" si="9"/>
        <v>2295.5</v>
      </c>
      <c r="G79" s="365"/>
      <c r="H79" s="365"/>
      <c r="I79" s="366"/>
      <c r="J79" s="366"/>
      <c r="K79" s="366"/>
      <c r="L79" s="365"/>
      <c r="M79" s="365"/>
    </row>
    <row r="80" spans="1:31" x14ac:dyDescent="0.25">
      <c r="A80" s="365"/>
      <c r="B80" s="364">
        <v>42495</v>
      </c>
      <c r="C80" s="365">
        <v>25</v>
      </c>
      <c r="D80" s="366">
        <v>45</v>
      </c>
      <c r="E80" s="366">
        <v>0</v>
      </c>
      <c r="F80" s="366">
        <f t="shared" si="9"/>
        <v>1125</v>
      </c>
      <c r="G80" s="364">
        <v>42557</v>
      </c>
      <c r="H80" s="365">
        <v>150</v>
      </c>
      <c r="I80" s="366">
        <v>39.28</v>
      </c>
      <c r="J80" s="366">
        <v>0.13</v>
      </c>
      <c r="K80" s="366">
        <f t="shared" ref="K80:K85" si="10">I80*H80-J80</f>
        <v>5891.87</v>
      </c>
      <c r="L80" s="365"/>
      <c r="M80" s="365"/>
    </row>
    <row r="81" spans="1:13" x14ac:dyDescent="0.25">
      <c r="A81" s="365"/>
      <c r="B81" s="364">
        <v>42502</v>
      </c>
      <c r="C81" s="365">
        <v>25</v>
      </c>
      <c r="D81" s="366">
        <v>44.09</v>
      </c>
      <c r="E81" s="366">
        <v>0</v>
      </c>
      <c r="F81" s="366">
        <f t="shared" si="9"/>
        <v>1102.25</v>
      </c>
      <c r="G81" s="364">
        <v>42562</v>
      </c>
      <c r="H81" s="365">
        <v>50</v>
      </c>
      <c r="I81" s="366">
        <v>42.68</v>
      </c>
      <c r="J81" s="366">
        <v>0.05</v>
      </c>
      <c r="K81" s="366">
        <f t="shared" si="10"/>
        <v>2133.9499999999998</v>
      </c>
      <c r="L81" s="365"/>
      <c r="M81" s="365"/>
    </row>
    <row r="82" spans="1:13" x14ac:dyDescent="0.25">
      <c r="A82" s="365"/>
      <c r="B82" s="364">
        <v>42535</v>
      </c>
      <c r="C82" s="365">
        <v>40</v>
      </c>
      <c r="D82" s="366">
        <v>43.19</v>
      </c>
      <c r="E82" s="366">
        <v>0</v>
      </c>
      <c r="F82" s="366">
        <f t="shared" si="9"/>
        <v>1727.6</v>
      </c>
      <c r="G82" s="364">
        <v>42566</v>
      </c>
      <c r="H82" s="365">
        <v>40</v>
      </c>
      <c r="I82" s="366">
        <v>47.51</v>
      </c>
      <c r="J82" s="366">
        <v>0.04</v>
      </c>
      <c r="K82" s="366">
        <f t="shared" si="10"/>
        <v>1900.36</v>
      </c>
      <c r="L82" s="365"/>
      <c r="M82" s="365"/>
    </row>
    <row r="83" spans="1:13" x14ac:dyDescent="0.25">
      <c r="A83" s="365"/>
      <c r="B83" s="364">
        <v>42545</v>
      </c>
      <c r="C83" s="365">
        <v>100</v>
      </c>
      <c r="D83" s="366">
        <v>42.28</v>
      </c>
      <c r="E83" s="366">
        <v>0</v>
      </c>
      <c r="F83" s="366">
        <f t="shared" si="9"/>
        <v>4228</v>
      </c>
      <c r="G83" s="364">
        <v>42587</v>
      </c>
      <c r="H83" s="365">
        <v>210</v>
      </c>
      <c r="I83" s="366">
        <v>47.58</v>
      </c>
      <c r="J83" s="366">
        <v>0.22</v>
      </c>
      <c r="K83" s="366">
        <f t="shared" si="10"/>
        <v>9991.58</v>
      </c>
      <c r="L83" s="365"/>
      <c r="M83" s="365"/>
    </row>
    <row r="84" spans="1:13" x14ac:dyDescent="0.25">
      <c r="A84" s="365"/>
      <c r="B84" s="364">
        <v>42545</v>
      </c>
      <c r="C84" s="365">
        <v>110</v>
      </c>
      <c r="D84" s="366">
        <v>41.12</v>
      </c>
      <c r="E84" s="366">
        <v>0</v>
      </c>
      <c r="F84" s="366">
        <f t="shared" si="9"/>
        <v>4523.2</v>
      </c>
      <c r="G84" s="364">
        <v>42593</v>
      </c>
      <c r="H84" s="365">
        <v>50</v>
      </c>
      <c r="I84" s="366">
        <v>47.35</v>
      </c>
      <c r="J84" s="366">
        <v>0.05</v>
      </c>
      <c r="K84" s="366">
        <f t="shared" si="10"/>
        <v>2367.4499999999998</v>
      </c>
      <c r="L84" s="365"/>
      <c r="M84" s="365"/>
    </row>
    <row r="85" spans="1:13" x14ac:dyDescent="0.25">
      <c r="A85" s="365"/>
      <c r="B85" s="364">
        <v>42557</v>
      </c>
      <c r="C85" s="365">
        <v>150</v>
      </c>
      <c r="D85" s="366">
        <v>38.08</v>
      </c>
      <c r="E85" s="366">
        <v>0</v>
      </c>
      <c r="F85" s="366">
        <f t="shared" si="9"/>
        <v>5712</v>
      </c>
      <c r="G85" s="364">
        <v>42597</v>
      </c>
      <c r="H85" s="365">
        <v>100</v>
      </c>
      <c r="I85" s="366">
        <v>47.89</v>
      </c>
      <c r="J85" s="366">
        <v>0.1</v>
      </c>
      <c r="K85" s="366">
        <f t="shared" si="10"/>
        <v>4788.8999999999996</v>
      </c>
      <c r="L85" s="365"/>
      <c r="M85" s="365"/>
    </row>
    <row r="86" spans="1:13" x14ac:dyDescent="0.25">
      <c r="A86" s="365"/>
      <c r="B86" s="364"/>
      <c r="C86" s="365"/>
      <c r="D86" s="366"/>
      <c r="E86" s="366"/>
      <c r="F86" s="366"/>
      <c r="G86" s="365"/>
      <c r="H86" s="365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5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5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5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365"/>
      <c r="B91" s="365"/>
      <c r="C91" s="365"/>
      <c r="D91" s="366"/>
      <c r="E91" s="366"/>
      <c r="F91" s="366"/>
      <c r="G91" s="365"/>
      <c r="H91" s="365"/>
      <c r="I91" s="366"/>
      <c r="J91" s="366"/>
      <c r="K91" s="366"/>
      <c r="L91" s="365"/>
      <c r="M91" s="365"/>
    </row>
    <row r="92" spans="1:13" x14ac:dyDescent="0.25">
      <c r="A92" s="365"/>
      <c r="B92" s="365"/>
      <c r="C92" s="365"/>
      <c r="D92" s="366"/>
      <c r="E92" s="366"/>
      <c r="F92" s="366"/>
      <c r="G92" s="365"/>
      <c r="H92" s="365"/>
      <c r="I92" s="366"/>
      <c r="J92" s="366"/>
      <c r="K92" s="366"/>
      <c r="L92" s="365"/>
      <c r="M92" s="36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7" t="s">
        <v>194</v>
      </c>
      <c r="B94" s="448"/>
      <c r="C94" s="449">
        <f>SumByColor($A$19,C77:C92)</f>
        <v>0</v>
      </c>
      <c r="D94" s="449"/>
      <c r="E94" s="449"/>
      <c r="F94" s="450">
        <f>SumByColor($A$19,F77:F92)</f>
        <v>0</v>
      </c>
      <c r="G94" s="449"/>
      <c r="H94" s="449">
        <f>SumByColor($A$19,H78:H92)</f>
        <v>0</v>
      </c>
      <c r="I94" s="449"/>
      <c r="J94" s="449"/>
      <c r="K94" s="450">
        <f>SumByColor($A$19,K78:K92)</f>
        <v>0</v>
      </c>
      <c r="L94" s="449"/>
      <c r="M94" s="45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495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4" t="s">
        <v>113</v>
      </c>
      <c r="C24" s="365" t="s">
        <v>146</v>
      </c>
      <c r="D24" s="366" t="s">
        <v>145</v>
      </c>
      <c r="E24" s="366" t="s">
        <v>147</v>
      </c>
      <c r="F24" s="366" t="s">
        <v>65</v>
      </c>
      <c r="G24" s="366" t="s">
        <v>151</v>
      </c>
      <c r="H24" s="367" t="s">
        <v>88</v>
      </c>
      <c r="I24" s="36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1" t="s">
        <v>1</v>
      </c>
      <c r="B68" s="371" t="s">
        <v>2</v>
      </c>
      <c r="C68" s="371" t="s">
        <v>4</v>
      </c>
      <c r="D68" s="373" t="s">
        <v>5</v>
      </c>
      <c r="E68" s="373" t="s">
        <v>94</v>
      </c>
      <c r="F68" s="373" t="s">
        <v>60</v>
      </c>
      <c r="G68" s="371" t="s">
        <v>3</v>
      </c>
      <c r="H68" s="371" t="s">
        <v>6</v>
      </c>
      <c r="I68" s="373" t="s">
        <v>7</v>
      </c>
      <c r="J68" s="373" t="s">
        <v>95</v>
      </c>
      <c r="K68" s="373" t="s">
        <v>61</v>
      </c>
      <c r="L68" s="371" t="s">
        <v>37</v>
      </c>
      <c r="M68" s="37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4" t="s">
        <v>52</v>
      </c>
      <c r="B69" s="364">
        <v>42488</v>
      </c>
      <c r="C69" s="365">
        <v>30</v>
      </c>
      <c r="D69" s="366">
        <v>79.349999999999994</v>
      </c>
      <c r="E69" s="366">
        <v>0</v>
      </c>
      <c r="F69" s="366">
        <f>D69*C69+E69</f>
        <v>2380.5</v>
      </c>
      <c r="G69" s="364">
        <v>42521</v>
      </c>
      <c r="H69" s="369">
        <v>25</v>
      </c>
      <c r="I69" s="366">
        <v>79.05</v>
      </c>
      <c r="J69" s="366">
        <v>0.04</v>
      </c>
      <c r="K69" s="366">
        <f>I69*H69-J69</f>
        <v>1976.21</v>
      </c>
      <c r="L69" s="364">
        <v>42566</v>
      </c>
      <c r="M69" s="36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5" t="s">
        <v>71</v>
      </c>
      <c r="B70" s="364">
        <v>42495</v>
      </c>
      <c r="C70" s="365">
        <v>20</v>
      </c>
      <c r="D70" s="366">
        <v>76.25</v>
      </c>
      <c r="E70" s="366">
        <v>0</v>
      </c>
      <c r="F70" s="366">
        <f>D70*C70+E70</f>
        <v>1525</v>
      </c>
      <c r="G70" s="364">
        <v>42552</v>
      </c>
      <c r="H70" s="369">
        <v>25</v>
      </c>
      <c r="I70" s="366">
        <v>78.28</v>
      </c>
      <c r="J70" s="366">
        <v>0.04</v>
      </c>
      <c r="K70" s="366">
        <f>I70*H70-J70</f>
        <v>1956.96</v>
      </c>
      <c r="L70" s="365"/>
      <c r="M70" s="365"/>
    </row>
    <row r="71" spans="1:31" x14ac:dyDescent="0.25">
      <c r="A71" s="365"/>
      <c r="B71" s="364">
        <v>42537</v>
      </c>
      <c r="C71" s="365">
        <v>25</v>
      </c>
      <c r="D71" s="366">
        <v>75.88</v>
      </c>
      <c r="E71" s="366">
        <v>0</v>
      </c>
      <c r="F71" s="366">
        <f>D71*C71+E71</f>
        <v>1897</v>
      </c>
      <c r="G71" s="364">
        <v>42577</v>
      </c>
      <c r="H71" s="369">
        <v>10</v>
      </c>
      <c r="I71" s="366">
        <v>83.3</v>
      </c>
      <c r="J71" s="366">
        <v>0.02</v>
      </c>
      <c r="K71" s="366">
        <f>I71*H71-J71</f>
        <v>832.98</v>
      </c>
      <c r="L71" s="365"/>
      <c r="M71" s="365"/>
    </row>
    <row r="72" spans="1:31" x14ac:dyDescent="0.25">
      <c r="A72" s="365"/>
      <c r="B72" s="364">
        <v>42548</v>
      </c>
      <c r="C72" s="365">
        <v>25</v>
      </c>
      <c r="D72" s="366">
        <v>73.58</v>
      </c>
      <c r="E72" s="366">
        <v>0</v>
      </c>
      <c r="F72" s="366">
        <f>D72*C72+E72</f>
        <v>1839.5</v>
      </c>
      <c r="G72" s="364">
        <v>42580</v>
      </c>
      <c r="H72" s="369">
        <v>40</v>
      </c>
      <c r="I72" s="366">
        <v>83.33</v>
      </c>
      <c r="J72" s="366">
        <v>7.0000000000000007E-2</v>
      </c>
      <c r="K72" s="366">
        <f>I72*H72-J72</f>
        <v>3333.1299999999997</v>
      </c>
      <c r="L72" s="365"/>
      <c r="M72" s="365"/>
    </row>
    <row r="73" spans="1:31" x14ac:dyDescent="0.25">
      <c r="A73" s="365"/>
      <c r="B73" s="364">
        <v>42608</v>
      </c>
      <c r="C73" s="365">
        <v>25</v>
      </c>
      <c r="D73" s="366">
        <v>79.02</v>
      </c>
      <c r="E73" s="366">
        <v>0</v>
      </c>
      <c r="F73" s="366">
        <f t="shared" ref="F73:F79" si="3">C73*D73+E73</f>
        <v>1975.5</v>
      </c>
      <c r="G73" s="364">
        <v>42674</v>
      </c>
      <c r="H73" s="369">
        <v>25</v>
      </c>
      <c r="I73" s="366">
        <v>70.900000000000006</v>
      </c>
      <c r="J73" s="366">
        <v>0.04</v>
      </c>
      <c r="K73" s="366">
        <f>H73*I73-J73</f>
        <v>1772.4600000000003</v>
      </c>
      <c r="L73" s="364">
        <v>42660</v>
      </c>
      <c r="M73" s="366">
        <v>22.45</v>
      </c>
    </row>
    <row r="74" spans="1:31" x14ac:dyDescent="0.25">
      <c r="A74" s="365"/>
      <c r="B74" s="364">
        <v>42627</v>
      </c>
      <c r="C74" s="365">
        <v>25</v>
      </c>
      <c r="D74" s="366">
        <v>76.3</v>
      </c>
      <c r="E74" s="366">
        <v>0</v>
      </c>
      <c r="F74" s="366">
        <f t="shared" si="3"/>
        <v>1907.5</v>
      </c>
      <c r="G74" s="364">
        <v>42711</v>
      </c>
      <c r="H74" s="369">
        <v>25</v>
      </c>
      <c r="I74" s="366">
        <v>69.680000000000007</v>
      </c>
      <c r="J74" s="366">
        <v>0.04</v>
      </c>
      <c r="K74" s="366">
        <f>H74*I74-J74</f>
        <v>1741.9600000000003</v>
      </c>
      <c r="L74" s="364">
        <v>42753</v>
      </c>
      <c r="M74" s="366">
        <v>22.45</v>
      </c>
    </row>
    <row r="75" spans="1:31" x14ac:dyDescent="0.25">
      <c r="A75" s="365"/>
      <c r="B75" s="364">
        <v>42668</v>
      </c>
      <c r="C75" s="365">
        <v>25</v>
      </c>
      <c r="D75" s="366">
        <v>74.38</v>
      </c>
      <c r="E75" s="366">
        <v>0</v>
      </c>
      <c r="F75" s="366">
        <f t="shared" si="3"/>
        <v>1859.5</v>
      </c>
      <c r="G75" s="364">
        <v>42713</v>
      </c>
      <c r="H75" s="369">
        <v>50</v>
      </c>
      <c r="I75" s="366">
        <v>72.58</v>
      </c>
      <c r="J75" s="366">
        <v>0.08</v>
      </c>
      <c r="K75" s="366">
        <f>H75*I75-J75</f>
        <v>3628.92</v>
      </c>
      <c r="L75" s="365"/>
      <c r="M75" s="365"/>
    </row>
    <row r="76" spans="1:31" x14ac:dyDescent="0.25">
      <c r="A76" s="365"/>
      <c r="B76" s="364">
        <v>42671</v>
      </c>
      <c r="C76" s="365">
        <v>25</v>
      </c>
      <c r="D76" s="366">
        <v>64.7</v>
      </c>
      <c r="E76" s="366">
        <v>0</v>
      </c>
      <c r="F76" s="366">
        <f t="shared" si="3"/>
        <v>1617.5</v>
      </c>
      <c r="G76" s="364">
        <v>42713</v>
      </c>
      <c r="H76" s="369">
        <v>25</v>
      </c>
      <c r="I76" s="366">
        <v>73.25</v>
      </c>
      <c r="J76" s="366">
        <v>0.04</v>
      </c>
      <c r="K76" s="366">
        <f>H76*I76-J76</f>
        <v>1831.21</v>
      </c>
      <c r="L76" s="365"/>
      <c r="M76" s="365"/>
    </row>
    <row r="77" spans="1:31" x14ac:dyDescent="0.25">
      <c r="A77" s="365"/>
      <c r="B77" s="364">
        <v>42674</v>
      </c>
      <c r="C77" s="365">
        <v>25</v>
      </c>
      <c r="D77" s="366">
        <v>69.680000000000007</v>
      </c>
      <c r="E77" s="366">
        <v>0</v>
      </c>
      <c r="F77" s="366">
        <f t="shared" si="3"/>
        <v>1742.0000000000002</v>
      </c>
      <c r="G77" s="364">
        <v>42752</v>
      </c>
      <c r="H77" s="369">
        <v>50</v>
      </c>
      <c r="I77" s="366">
        <v>75.69</v>
      </c>
      <c r="J77" s="366">
        <v>0.33</v>
      </c>
      <c r="K77" s="366">
        <f>H77*I77-J77</f>
        <v>3784.17</v>
      </c>
      <c r="L77" s="365"/>
      <c r="M77" s="365"/>
    </row>
    <row r="78" spans="1:31" x14ac:dyDescent="0.25">
      <c r="A78" s="365"/>
      <c r="B78" s="364">
        <v>42711</v>
      </c>
      <c r="C78" s="365">
        <v>25</v>
      </c>
      <c r="D78" s="366">
        <v>68.8</v>
      </c>
      <c r="E78" s="366">
        <v>0</v>
      </c>
      <c r="F78" s="366">
        <f t="shared" si="3"/>
        <v>1720</v>
      </c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>
        <v>42718</v>
      </c>
      <c r="C79" s="365">
        <v>25</v>
      </c>
      <c r="D79" s="366">
        <v>72.48</v>
      </c>
      <c r="E79" s="366">
        <v>0</v>
      </c>
      <c r="F79" s="366">
        <f t="shared" si="3"/>
        <v>1812</v>
      </c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437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7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5"/>
      <c r="M80" s="365"/>
    </row>
    <row r="81" spans="1:13" x14ac:dyDescent="0.25">
      <c r="A81" s="36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7" t="s">
        <v>194</v>
      </c>
      <c r="B86" s="448"/>
      <c r="C86" s="449">
        <f>SumByColor($A$19,C69:C84)</f>
        <v>25</v>
      </c>
      <c r="D86" s="449"/>
      <c r="E86" s="449"/>
      <c r="F86" s="450">
        <f>SumByColor($A$19,F69:F84)</f>
        <v>1793</v>
      </c>
      <c r="G86" s="449"/>
      <c r="H86" s="449">
        <f>SumByColor($A$19,H69:H84)</f>
        <v>25</v>
      </c>
      <c r="I86" s="449"/>
      <c r="J86" s="449"/>
      <c r="K86" s="450">
        <f>SumByColor($A$19,K69:K84)</f>
        <v>1944</v>
      </c>
      <c r="L86" s="449"/>
      <c r="M86" s="450">
        <f>SumByColor($A$19,M69:M84)</f>
        <v>0</v>
      </c>
    </row>
    <row r="92" spans="1:13" x14ac:dyDescent="0.25">
      <c r="B92" s="364" t="s">
        <v>113</v>
      </c>
      <c r="C92" s="365" t="s">
        <v>146</v>
      </c>
      <c r="D92" s="366" t="s">
        <v>145</v>
      </c>
      <c r="E92" s="366" t="s">
        <v>147</v>
      </c>
      <c r="F92" s="366" t="s">
        <v>65</v>
      </c>
      <c r="G92" s="366" t="s">
        <v>151</v>
      </c>
      <c r="H92" s="367" t="s">
        <v>88</v>
      </c>
      <c r="I92" s="366" t="s">
        <v>154</v>
      </c>
    </row>
    <row r="93" spans="1:13" x14ac:dyDescent="0.25">
      <c r="A93" s="500" t="s">
        <v>336</v>
      </c>
      <c r="B93" s="499">
        <v>42754</v>
      </c>
      <c r="C93" s="500">
        <v>25</v>
      </c>
      <c r="D93" s="501">
        <v>71.73</v>
      </c>
      <c r="E93" s="502">
        <v>75.55</v>
      </c>
      <c r="F93" s="502">
        <f>C93*(E93-D93)</f>
        <v>95.499999999999829</v>
      </c>
      <c r="G93" s="502">
        <f>D93*C93</f>
        <v>1793.25</v>
      </c>
      <c r="H93" s="544">
        <f>(E93-D93)/D93</f>
        <v>5.3255262791021787E-2</v>
      </c>
      <c r="I93" s="502">
        <v>70</v>
      </c>
    </row>
    <row r="94" spans="1:13" x14ac:dyDescent="0.25">
      <c r="A94" s="500" t="s">
        <v>367</v>
      </c>
      <c r="B94" s="499">
        <v>42761</v>
      </c>
      <c r="C94" s="500">
        <v>50</v>
      </c>
      <c r="D94" s="501">
        <v>72.155000000000001</v>
      </c>
      <c r="E94" s="502">
        <v>73.09</v>
      </c>
      <c r="F94" s="502">
        <f>C94*(E94-D94)</f>
        <v>46.750000000000114</v>
      </c>
      <c r="G94" s="502">
        <f>D94*C94</f>
        <v>3607.75</v>
      </c>
      <c r="H94" s="544">
        <f>(E94-D94)/D94</f>
        <v>1.2958214953918679E-2</v>
      </c>
      <c r="I94" s="502">
        <v>71</v>
      </c>
    </row>
    <row r="95" spans="1:13" x14ac:dyDescent="0.25">
      <c r="A95" s="500" t="s">
        <v>402</v>
      </c>
      <c r="B95" s="499">
        <v>42771</v>
      </c>
      <c r="C95" s="500">
        <v>50</v>
      </c>
      <c r="D95" s="501">
        <v>72.155000000000001</v>
      </c>
      <c r="E95" s="502">
        <v>74.87</v>
      </c>
      <c r="F95" s="502">
        <f>C95*(E95-D95)</f>
        <v>135.75000000000017</v>
      </c>
      <c r="G95" s="502">
        <f>D95*C95</f>
        <v>3607.75</v>
      </c>
      <c r="H95" s="544">
        <f>(E95-D95)/D95</f>
        <v>3.7627330053357402E-2</v>
      </c>
      <c r="I95" s="502"/>
    </row>
    <row r="96" spans="1:13" x14ac:dyDescent="0.25">
      <c r="A96" s="500" t="s">
        <v>407</v>
      </c>
      <c r="B96" s="499">
        <v>42773</v>
      </c>
      <c r="C96" s="500">
        <v>25</v>
      </c>
      <c r="D96" s="501">
        <v>66.531599999999997</v>
      </c>
      <c r="E96" s="502">
        <v>75.87</v>
      </c>
      <c r="F96" s="502">
        <f>C96*(E96-D96)</f>
        <v>233.46000000000018</v>
      </c>
      <c r="G96" s="502">
        <f>D96*C96</f>
        <v>1663.29</v>
      </c>
      <c r="H96" s="544">
        <f>(E96-D96)/D96</f>
        <v>0.14036037010984265</v>
      </c>
      <c r="I96" s="502"/>
    </row>
    <row r="97" spans="1:9" x14ac:dyDescent="0.25">
      <c r="A97" s="638"/>
      <c r="B97" s="639"/>
      <c r="C97" s="638"/>
      <c r="D97" s="640"/>
      <c r="E97" s="640"/>
      <c r="F97" s="640"/>
      <c r="G97" s="640"/>
      <c r="H97" s="641"/>
      <c r="I97" s="640"/>
    </row>
    <row r="98" spans="1:9" x14ac:dyDescent="0.25">
      <c r="A98" s="638" t="s">
        <v>442</v>
      </c>
      <c r="B98" s="639">
        <v>42787</v>
      </c>
      <c r="C98" s="638">
        <v>25</v>
      </c>
      <c r="D98" s="640">
        <v>72.58</v>
      </c>
      <c r="E98" s="640">
        <v>81.34</v>
      </c>
      <c r="F98" s="640">
        <f>C98*(E98-D98)</f>
        <v>219.00000000000011</v>
      </c>
      <c r="G98" s="640">
        <f>D98*C98</f>
        <v>1814.5</v>
      </c>
      <c r="H98" s="641">
        <f>(E98-D98)/D98</f>
        <v>0.12069440617249938</v>
      </c>
      <c r="I98" s="640"/>
    </row>
    <row r="99" spans="1:9" x14ac:dyDescent="0.25">
      <c r="A99" s="638"/>
      <c r="B99" s="639">
        <v>42796</v>
      </c>
      <c r="C99" s="638">
        <v>0</v>
      </c>
      <c r="D99" s="640"/>
      <c r="E99" s="640"/>
      <c r="F99" s="640">
        <v>244.96</v>
      </c>
      <c r="G99" s="640"/>
      <c r="H99" s="641"/>
      <c r="I99" s="640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49.274999999999999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52.92</v>
      </c>
      <c r="R4" s="497">
        <v>-1.1000000000000001E-3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5292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1562.9699999999971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364.5</v>
      </c>
      <c r="R8" s="414"/>
      <c r="T8" s="29">
        <v>43202</v>
      </c>
      <c r="U8" t="s">
        <v>1028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7.3972602739726029E-2</v>
      </c>
      <c r="T9" s="29"/>
      <c r="U9" s="478" t="s">
        <v>1029</v>
      </c>
    </row>
    <row r="10" spans="1:21" x14ac:dyDescent="0.25">
      <c r="B10" s="72"/>
      <c r="C10" s="4"/>
      <c r="D10" s="3"/>
      <c r="E10" s="3"/>
      <c r="F10" s="3"/>
      <c r="G10" s="72"/>
      <c r="H10" s="377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2.3053665910808766E-2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1021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997</v>
      </c>
      <c r="Q13">
        <f>Q4/6.24</f>
        <v>8.4807692307692299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0</v>
      </c>
      <c r="D30" s="346"/>
      <c r="E30" s="346"/>
      <c r="F30" s="347">
        <f>SumByColor($A$30,F2:F28)</f>
        <v>0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7" t="s">
        <v>78</v>
      </c>
      <c r="P42" s="847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58.212000000000003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57.682800000000007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57.153600000000004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56.624400000000009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56.095200000000006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55.566000000000003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55.036800000000007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54.507600000000004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53.978400000000001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53.449200000000005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52.92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52.390799999999999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51.861600000000003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51.3324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50.803199999999997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50.274000000000001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49.744799999999998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49.215600000000002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48.686400000000006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48.157200000000003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47.628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06"/>
      <c r="C92" s="185"/>
      <c r="D92" s="186"/>
      <c r="E92" s="186"/>
      <c r="F92" s="186"/>
      <c r="G92" s="186"/>
      <c r="H92" s="507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4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4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4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5">
        <v>100</v>
      </c>
      <c r="I136" s="357">
        <v>40.479999999999997</v>
      </c>
      <c r="J136" s="357">
        <v>0.09</v>
      </c>
      <c r="K136" s="357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7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2" t="s">
        <v>194</v>
      </c>
      <c r="B156" s="443"/>
      <c r="C156" s="444">
        <f>SumByColor($A$30,C128:C154)</f>
        <v>0</v>
      </c>
      <c r="D156" s="444"/>
      <c r="E156" s="444"/>
      <c r="F156" s="445">
        <f>SumByColor($A$30,F128:F154)</f>
        <v>0</v>
      </c>
      <c r="G156" s="444"/>
      <c r="H156" s="444">
        <f>SumByColor($A$30,H129:H154)</f>
        <v>0</v>
      </c>
      <c r="I156" s="444"/>
      <c r="J156" s="444"/>
      <c r="K156" s="445">
        <f>SumByColor($A$30,K129:K154)</f>
        <v>0</v>
      </c>
      <c r="L156" s="444"/>
      <c r="M156" s="445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5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7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7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7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7">
        <v>36.805999999999997</v>
      </c>
      <c r="E179" s="357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06"/>
      <c r="C216" s="185"/>
      <c r="D216" s="186"/>
      <c r="E216" s="186"/>
      <c r="F216" s="186"/>
      <c r="G216" s="186"/>
      <c r="H216" s="507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5" priority="57">
      <formula>F45&gt;0</formula>
    </cfRule>
    <cfRule type="expression" dxfId="304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59">
      <formula>F40&gt;0</formula>
    </cfRule>
    <cfRule type="expression" dxfId="302" priority="60">
      <formula>F40&lt;0</formula>
    </cfRule>
  </conditionalFormatting>
  <conditionalFormatting sqref="F45:F59 F61:F91 F93:F102">
    <cfRule type="expression" dxfId="301" priority="55">
      <formula>F45&gt;0</formula>
    </cfRule>
    <cfRule type="expression" dxfId="300" priority="56">
      <formula>F45&lt;0</formula>
    </cfRule>
  </conditionalFormatting>
  <conditionalFormatting sqref="H40:H59 H61:H91 H93:H102">
    <cfRule type="expression" dxfId="299" priority="53">
      <formula>H40&gt;0</formula>
    </cfRule>
    <cfRule type="expression" dxfId="298" priority="54">
      <formula>H40&lt;0</formula>
    </cfRule>
  </conditionalFormatting>
  <conditionalFormatting sqref="F36:F39">
    <cfRule type="expression" dxfId="297" priority="51">
      <formula>F36&gt;0</formula>
    </cfRule>
    <cfRule type="expression" dxfId="296" priority="52">
      <formula>F36&lt;0</formula>
    </cfRule>
  </conditionalFormatting>
  <conditionalFormatting sqref="H36:H39">
    <cfRule type="expression" dxfId="295" priority="49">
      <formula>H36&gt;0</formula>
    </cfRule>
    <cfRule type="expression" dxfId="294" priority="50">
      <formula>H36&lt;0</formula>
    </cfRule>
  </conditionalFormatting>
  <conditionalFormatting sqref="Q7">
    <cfRule type="expression" dxfId="293" priority="43">
      <formula>Q7&gt;0</formula>
    </cfRule>
    <cfRule type="expression" dxfId="292" priority="44">
      <formula>Q7&lt;0</formula>
    </cfRule>
  </conditionalFormatting>
  <conditionalFormatting sqref="Q8">
    <cfRule type="expression" dxfId="291" priority="41">
      <formula>Q8&gt;0</formula>
    </cfRule>
    <cfRule type="expression" dxfId="290" priority="42">
      <formula>Q8&lt;0</formula>
    </cfRule>
  </conditionalFormatting>
  <conditionalFormatting sqref="Q10">
    <cfRule type="expression" dxfId="289" priority="39">
      <formula>Q10&gt;0</formula>
    </cfRule>
    <cfRule type="expression" dxfId="288" priority="40">
      <formula>Q10&lt;0</formula>
    </cfRule>
  </conditionalFormatting>
  <conditionalFormatting sqref="F60">
    <cfRule type="expression" dxfId="287" priority="37">
      <formula>F60&gt;0</formula>
    </cfRule>
    <cfRule type="expression" dxfId="286" priority="38">
      <formula>F60&lt;0</formula>
    </cfRule>
  </conditionalFormatting>
  <conditionalFormatting sqref="F60">
    <cfRule type="expression" dxfId="285" priority="35">
      <formula>F60&gt;0</formula>
    </cfRule>
    <cfRule type="expression" dxfId="284" priority="36">
      <formula>F60&lt;0</formula>
    </cfRule>
  </conditionalFormatting>
  <conditionalFormatting sqref="H60">
    <cfRule type="expression" dxfId="283" priority="33">
      <formula>H60&gt;0</formula>
    </cfRule>
    <cfRule type="expression" dxfId="282" priority="34">
      <formula>H60&lt;0</formula>
    </cfRule>
  </conditionalFormatting>
  <conditionalFormatting sqref="F92">
    <cfRule type="expression" dxfId="281" priority="31">
      <formula>F92&gt;0</formula>
    </cfRule>
    <cfRule type="expression" dxfId="280" priority="32">
      <formula>F92&lt;0</formula>
    </cfRule>
  </conditionalFormatting>
  <conditionalFormatting sqref="F92">
    <cfRule type="expression" dxfId="279" priority="29">
      <formula>F92&gt;0</formula>
    </cfRule>
    <cfRule type="expression" dxfId="278" priority="30">
      <formula>F92&lt;0</formula>
    </cfRule>
  </conditionalFormatting>
  <conditionalFormatting sqref="H92">
    <cfRule type="expression" dxfId="277" priority="27">
      <formula>H92&gt;0</formula>
    </cfRule>
    <cfRule type="expression" dxfId="276" priority="28">
      <formula>H92&lt;0</formula>
    </cfRule>
  </conditionalFormatting>
  <conditionalFormatting sqref="F169:F183 F185:F215 F217:F226">
    <cfRule type="expression" dxfId="275" priority="23">
      <formula>F169&gt;0</formula>
    </cfRule>
    <cfRule type="expression" dxfId="274" priority="24">
      <formula>F169&lt;0</formula>
    </cfRule>
  </conditionalFormatting>
  <conditionalFormatting sqref="F164:F168">
    <cfRule type="expression" dxfId="273" priority="25">
      <formula>F164&gt;0</formula>
    </cfRule>
    <cfRule type="expression" dxfId="272" priority="26">
      <formula>F164&lt;0</formula>
    </cfRule>
  </conditionalFormatting>
  <conditionalFormatting sqref="F169:F183 F185:F215 F217:F226">
    <cfRule type="expression" dxfId="271" priority="21">
      <formula>F169&gt;0</formula>
    </cfRule>
    <cfRule type="expression" dxfId="270" priority="22">
      <formula>F169&lt;0</formula>
    </cfRule>
  </conditionalFormatting>
  <conditionalFormatting sqref="H164:H183 H185:H215 H217:H226">
    <cfRule type="expression" dxfId="269" priority="19">
      <formula>H164&gt;0</formula>
    </cfRule>
    <cfRule type="expression" dxfId="268" priority="20">
      <formula>H164&lt;0</formula>
    </cfRule>
  </conditionalFormatting>
  <conditionalFormatting sqref="F160:F163">
    <cfRule type="expression" dxfId="267" priority="17">
      <formula>F160&gt;0</formula>
    </cfRule>
    <cfRule type="expression" dxfId="266" priority="18">
      <formula>F160&lt;0</formula>
    </cfRule>
  </conditionalFormatting>
  <conditionalFormatting sqref="H160:H163">
    <cfRule type="expression" dxfId="265" priority="15">
      <formula>H160&gt;0</formula>
    </cfRule>
    <cfRule type="expression" dxfId="264" priority="16">
      <formula>H160&lt;0</formula>
    </cfRule>
  </conditionalFormatting>
  <conditionalFormatting sqref="F184">
    <cfRule type="expression" dxfId="263" priority="13">
      <formula>F184&gt;0</formula>
    </cfRule>
    <cfRule type="expression" dxfId="262" priority="14">
      <formula>F184&lt;0</formula>
    </cfRule>
  </conditionalFormatting>
  <conditionalFormatting sqref="F184">
    <cfRule type="expression" dxfId="261" priority="11">
      <formula>F184&gt;0</formula>
    </cfRule>
    <cfRule type="expression" dxfId="260" priority="12">
      <formula>F184&lt;0</formula>
    </cfRule>
  </conditionalFormatting>
  <conditionalFormatting sqref="H184">
    <cfRule type="expression" dxfId="259" priority="9">
      <formula>H184&gt;0</formula>
    </cfRule>
    <cfRule type="expression" dxfId="258" priority="10">
      <formula>H184&lt;0</formula>
    </cfRule>
  </conditionalFormatting>
  <conditionalFormatting sqref="F216">
    <cfRule type="expression" dxfId="257" priority="7">
      <formula>F216&gt;0</formula>
    </cfRule>
    <cfRule type="expression" dxfId="256" priority="8">
      <formula>F216&lt;0</formula>
    </cfRule>
  </conditionalFormatting>
  <conditionalFormatting sqref="F216">
    <cfRule type="expression" dxfId="255" priority="5">
      <formula>F216&gt;0</formula>
    </cfRule>
    <cfRule type="expression" dxfId="254" priority="6">
      <formula>F216&lt;0</formula>
    </cfRule>
  </conditionalFormatting>
  <conditionalFormatting sqref="H216">
    <cfRule type="expression" dxfId="253" priority="3">
      <formula>H216&gt;0</formula>
    </cfRule>
    <cfRule type="expression" dxfId="252" priority="4">
      <formula>H216&lt;0</formula>
    </cfRule>
  </conditionalFormatting>
  <conditionalFormatting sqref="J38:J39">
    <cfRule type="expression" dxfId="251" priority="1">
      <formula>J38&gt;0</formula>
    </cfRule>
    <cfRule type="expression" dxfId="250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788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793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18.05</v>
      </c>
      <c r="R4" s="478">
        <v>-7.1999999999999998E-3</v>
      </c>
      <c r="U4" t="s">
        <v>794</v>
      </c>
    </row>
    <row r="5" spans="1:29" x14ac:dyDescent="0.25">
      <c r="B5" s="477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7220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-226.0299999999952</v>
      </c>
      <c r="R7">
        <v>300</v>
      </c>
      <c r="T7" s="1">
        <v>43103</v>
      </c>
      <c r="U7" t="s">
        <v>860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-511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-6.6097529426982285E-2</v>
      </c>
      <c r="U9" t="s">
        <v>952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1017</v>
      </c>
      <c r="P11" s="33"/>
      <c r="Q11" s="134">
        <f>4*R11/Q4</f>
        <v>1.5955678670360109E-2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968</v>
      </c>
    </row>
    <row r="13" spans="1:29" x14ac:dyDescent="0.25">
      <c r="O13" s="11" t="s">
        <v>997</v>
      </c>
      <c r="Q13" s="2">
        <f>Q4/2.45</f>
        <v>7.3673469387755102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504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3">
        <v>489</v>
      </c>
      <c r="K24" s="733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3">
        <v>269</v>
      </c>
      <c r="K25" s="733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3">
        <v>143</v>
      </c>
      <c r="K26" s="733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3">
        <v>-282</v>
      </c>
      <c r="K27" s="733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3">
        <v>-698</v>
      </c>
      <c r="K28" s="39">
        <v>36.6</v>
      </c>
    </row>
    <row r="29" spans="1:13" x14ac:dyDescent="0.25">
      <c r="A29" s="10"/>
      <c r="B29" s="187"/>
      <c r="C29" s="10"/>
      <c r="D29" s="39"/>
      <c r="E29" s="39"/>
      <c r="F29" s="39"/>
      <c r="G29" s="39"/>
      <c r="H29" s="226"/>
      <c r="I29" s="226"/>
      <c r="J29" s="733"/>
      <c r="K29" s="733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3"/>
      <c r="K30" s="733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3"/>
      <c r="K31" s="733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3"/>
      <c r="K32" s="733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3"/>
      <c r="K33" s="733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3"/>
      <c r="K34" s="733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3"/>
      <c r="K35" s="733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3"/>
      <c r="K36" s="733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3"/>
      <c r="K37" s="733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3" t="s">
        <v>78</v>
      </c>
      <c r="P42" s="563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19.855000000000004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6">O44*$Q$4</f>
        <v>19.674500000000002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6"/>
        <v>19.494000000000003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6"/>
        <v>19.313500000000001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6"/>
        <v>19.133000000000003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6"/>
        <v>18.952500000000001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6"/>
        <v>18.772000000000002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6"/>
        <v>18.5915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6"/>
        <v>18.411000000000001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6"/>
        <v>18.230499999999999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6"/>
        <v>18.05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6"/>
        <v>17.869500000000002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6"/>
        <v>17.689</v>
      </c>
      <c r="Q55" s="81"/>
    </row>
    <row r="56" spans="1:18" x14ac:dyDescent="0.25">
      <c r="O56" s="81">
        <v>0.97</v>
      </c>
      <c r="P56" s="81">
        <f t="shared" si="6"/>
        <v>17.508500000000002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17.327999999999999</v>
      </c>
      <c r="Q57" s="81"/>
    </row>
    <row r="58" spans="1:18" x14ac:dyDescent="0.25">
      <c r="A58" s="371" t="s">
        <v>1</v>
      </c>
      <c r="B58" s="371" t="s">
        <v>2</v>
      </c>
      <c r="C58" s="371" t="s">
        <v>4</v>
      </c>
      <c r="D58" s="373" t="s">
        <v>5</v>
      </c>
      <c r="E58" s="373" t="s">
        <v>94</v>
      </c>
      <c r="F58" s="373" t="s">
        <v>60</v>
      </c>
      <c r="G58" s="371" t="s">
        <v>3</v>
      </c>
      <c r="H58" s="371" t="s">
        <v>6</v>
      </c>
      <c r="I58" s="373" t="s">
        <v>7</v>
      </c>
      <c r="J58" s="373" t="s">
        <v>95</v>
      </c>
      <c r="K58" s="373" t="s">
        <v>61</v>
      </c>
      <c r="L58" s="371" t="s">
        <v>77</v>
      </c>
      <c r="M58" s="371" t="s">
        <v>38</v>
      </c>
      <c r="O58" s="81">
        <v>0.95</v>
      </c>
      <c r="P58" s="81">
        <f t="shared" si="6"/>
        <v>17.147500000000001</v>
      </c>
      <c r="Q58" s="81"/>
    </row>
    <row r="59" spans="1:18" x14ac:dyDescent="0.25">
      <c r="A59" s="374" t="s">
        <v>332</v>
      </c>
      <c r="B59" s="437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7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16.966999999999999</v>
      </c>
      <c r="Q59" s="81"/>
    </row>
    <row r="60" spans="1:18" x14ac:dyDescent="0.25">
      <c r="A60" s="375" t="s">
        <v>71</v>
      </c>
      <c r="B60" s="437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7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16.7865</v>
      </c>
      <c r="Q60" s="81"/>
    </row>
    <row r="61" spans="1:18" x14ac:dyDescent="0.25">
      <c r="A61" s="365"/>
      <c r="B61" s="437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7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16.606000000000002</v>
      </c>
      <c r="Q61" s="81"/>
    </row>
    <row r="62" spans="1:18" x14ac:dyDescent="0.25">
      <c r="A62" s="365"/>
      <c r="B62" s="437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7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16.4255</v>
      </c>
      <c r="Q62" s="81"/>
    </row>
    <row r="63" spans="1:18" x14ac:dyDescent="0.25">
      <c r="A63" s="365"/>
      <c r="B63" s="437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7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16.245000000000001</v>
      </c>
      <c r="Q63" s="81"/>
    </row>
    <row r="64" spans="1:18" x14ac:dyDescent="0.25">
      <c r="A64" s="365"/>
      <c r="B64" s="437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7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5"/>
      <c r="B65" s="437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7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5"/>
      <c r="B66" s="437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7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5"/>
      <c r="B67" s="437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7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9" t="s">
        <v>231</v>
      </c>
      <c r="B81" s="759" t="s">
        <v>113</v>
      </c>
      <c r="C81" s="759" t="s">
        <v>146</v>
      </c>
      <c r="D81" s="760" t="s">
        <v>145</v>
      </c>
      <c r="E81" s="761" t="s">
        <v>147</v>
      </c>
      <c r="F81" s="762" t="s">
        <v>65</v>
      </c>
      <c r="G81" s="763" t="s">
        <v>151</v>
      </c>
      <c r="H81" s="762" t="s">
        <v>88</v>
      </c>
      <c r="I81" s="762" t="s">
        <v>154</v>
      </c>
    </row>
    <row r="82" spans="1:9" x14ac:dyDescent="0.25">
      <c r="A82" s="764"/>
      <c r="B82" s="765"/>
      <c r="C82" s="764"/>
      <c r="D82" s="766"/>
      <c r="E82" s="766"/>
      <c r="F82" s="766"/>
      <c r="G82" s="766"/>
      <c r="H82" s="767"/>
      <c r="I82" s="767"/>
    </row>
    <row r="83" spans="1:9" x14ac:dyDescent="0.25">
      <c r="A83" s="764"/>
      <c r="B83" s="765">
        <v>42746</v>
      </c>
      <c r="C83" s="764">
        <v>80</v>
      </c>
      <c r="D83" s="766">
        <v>34.020000000000003</v>
      </c>
      <c r="E83" s="766">
        <v>34.28</v>
      </c>
      <c r="F83" s="766">
        <f>C83*(E83-D83)</f>
        <v>20.799999999999841</v>
      </c>
      <c r="G83" s="766">
        <f>D83*C83</f>
        <v>2721.6000000000004</v>
      </c>
      <c r="H83" s="767">
        <f>(E83-D83)/D83</f>
        <v>7.6425631981186948E-3</v>
      </c>
      <c r="I83" s="767"/>
    </row>
    <row r="84" spans="1:9" x14ac:dyDescent="0.25">
      <c r="A84" s="764"/>
      <c r="B84" s="765">
        <v>42758</v>
      </c>
      <c r="C84" s="764">
        <v>120</v>
      </c>
      <c r="D84" s="766">
        <v>33.44</v>
      </c>
      <c r="E84" s="766">
        <v>32.71</v>
      </c>
      <c r="F84" s="766">
        <f>C84*(E84-D84)</f>
        <v>-87.599999999999625</v>
      </c>
      <c r="G84" s="766">
        <f>D84*C84</f>
        <v>4012.7999999999997</v>
      </c>
      <c r="H84" s="767">
        <f>(E84-D84)/D84</f>
        <v>-2.1830143540669766E-2</v>
      </c>
      <c r="I84" s="767"/>
    </row>
    <row r="85" spans="1:9" x14ac:dyDescent="0.25">
      <c r="A85" s="764" t="s">
        <v>364</v>
      </c>
      <c r="B85" s="765">
        <v>42760</v>
      </c>
      <c r="C85" s="764">
        <v>40</v>
      </c>
      <c r="D85" s="766">
        <v>32.961500000000001</v>
      </c>
      <c r="E85" s="766">
        <v>33.68</v>
      </c>
      <c r="F85" s="766">
        <f>C85*(E85-D85)</f>
        <v>28.739999999999952</v>
      </c>
      <c r="G85" s="766">
        <f>D85*C85</f>
        <v>1318.46</v>
      </c>
      <c r="H85" s="767">
        <f>(E85-D85)/D85</f>
        <v>2.1798158457594429E-2</v>
      </c>
      <c r="I85" s="767"/>
    </row>
    <row r="86" spans="1:9" x14ac:dyDescent="0.25">
      <c r="A86" s="764"/>
      <c r="B86" s="765">
        <v>42766</v>
      </c>
      <c r="C86" s="764">
        <v>0</v>
      </c>
      <c r="D86" s="766"/>
      <c r="E86" s="766"/>
      <c r="F86" s="766">
        <v>-46.49</v>
      </c>
      <c r="G86" s="766"/>
      <c r="H86" s="767"/>
      <c r="I86" s="767"/>
    </row>
    <row r="87" spans="1:9" x14ac:dyDescent="0.25">
      <c r="A87" s="764">
        <v>0</v>
      </c>
      <c r="B87" s="765">
        <v>42843</v>
      </c>
      <c r="C87" s="764">
        <v>80</v>
      </c>
      <c r="D87" s="766">
        <v>31.661100000000001</v>
      </c>
      <c r="E87" s="766">
        <v>30.99</v>
      </c>
      <c r="F87" s="766">
        <f t="shared" ref="F87:F106" si="9">C87*(E87-D87)</f>
        <v>-53.688000000000216</v>
      </c>
      <c r="G87" s="766">
        <f t="shared" ref="G87:G106" si="10">D87*C87</f>
        <v>2532.8879999999999</v>
      </c>
      <c r="H87" s="767">
        <f t="shared" ref="H87:H106" si="11">(E87-D87)/D87</f>
        <v>-2.1196357675507253E-2</v>
      </c>
      <c r="I87" s="768"/>
    </row>
    <row r="88" spans="1:9" x14ac:dyDescent="0.25">
      <c r="A88" s="764">
        <v>0</v>
      </c>
      <c r="B88" s="765">
        <v>42873</v>
      </c>
      <c r="C88" s="764">
        <v>160</v>
      </c>
      <c r="D88" s="766">
        <v>30.6706</v>
      </c>
      <c r="E88" s="766">
        <v>29.73</v>
      </c>
      <c r="F88" s="766">
        <f t="shared" si="9"/>
        <v>-150.49599999999998</v>
      </c>
      <c r="G88" s="766">
        <f t="shared" si="10"/>
        <v>4907.2960000000003</v>
      </c>
      <c r="H88" s="768">
        <f t="shared" si="11"/>
        <v>-3.0667805651014322E-2</v>
      </c>
      <c r="I88" s="768"/>
    </row>
    <row r="89" spans="1:9" x14ac:dyDescent="0.25">
      <c r="A89" s="764"/>
      <c r="B89" s="765">
        <v>42901</v>
      </c>
      <c r="C89" s="764">
        <v>80</v>
      </c>
      <c r="D89" s="766">
        <v>30.041799999999999</v>
      </c>
      <c r="E89" s="766">
        <v>30.43</v>
      </c>
      <c r="F89" s="766">
        <f t="shared" si="9"/>
        <v>31.056000000000097</v>
      </c>
      <c r="G89" s="766">
        <f t="shared" si="10"/>
        <v>2403.3440000000001</v>
      </c>
      <c r="H89" s="768">
        <f t="shared" si="11"/>
        <v>1.2921995353141331E-2</v>
      </c>
      <c r="I89" s="768"/>
    </row>
    <row r="90" spans="1:9" x14ac:dyDescent="0.25">
      <c r="A90" s="764">
        <v>80</v>
      </c>
      <c r="B90" s="765">
        <v>42917</v>
      </c>
      <c r="C90" s="764">
        <v>80</v>
      </c>
      <c r="D90" s="766">
        <v>29.463799999999999</v>
      </c>
      <c r="E90" s="766">
        <v>33.22</v>
      </c>
      <c r="F90" s="766">
        <f t="shared" si="9"/>
        <v>300.49599999999998</v>
      </c>
      <c r="G90" s="766">
        <f t="shared" si="10"/>
        <v>2357.1039999999998</v>
      </c>
      <c r="H90" s="768">
        <f t="shared" si="11"/>
        <v>0.12748525309023276</v>
      </c>
      <c r="I90" s="768"/>
    </row>
    <row r="91" spans="1:9" x14ac:dyDescent="0.25">
      <c r="A91" s="764">
        <v>80</v>
      </c>
      <c r="B91" s="765">
        <v>42957</v>
      </c>
      <c r="C91" s="764">
        <v>180</v>
      </c>
      <c r="D91" s="766">
        <v>22.695</v>
      </c>
      <c r="E91" s="766">
        <v>17.190000000000001</v>
      </c>
      <c r="F91" s="766">
        <f t="shared" si="9"/>
        <v>-990.89999999999986</v>
      </c>
      <c r="G91" s="766">
        <f t="shared" si="10"/>
        <v>4085.1</v>
      </c>
      <c r="H91" s="768">
        <f t="shared" si="11"/>
        <v>-0.24256444150693982</v>
      </c>
      <c r="I91" s="768"/>
    </row>
    <row r="92" spans="1:9" x14ac:dyDescent="0.25">
      <c r="A92" s="764">
        <v>80</v>
      </c>
      <c r="B92" s="765">
        <v>42983</v>
      </c>
      <c r="C92" s="764">
        <v>180</v>
      </c>
      <c r="D92" s="766">
        <v>22.695</v>
      </c>
      <c r="E92" s="766">
        <v>15.41</v>
      </c>
      <c r="F92" s="766">
        <f t="shared" si="9"/>
        <v>-1311.3</v>
      </c>
      <c r="G92" s="766">
        <f t="shared" si="10"/>
        <v>4085.1</v>
      </c>
      <c r="H92" s="768">
        <f t="shared" si="11"/>
        <v>-0.32099581405595945</v>
      </c>
      <c r="I92" s="768"/>
    </row>
    <row r="93" spans="1:9" x14ac:dyDescent="0.25">
      <c r="A93" s="764">
        <v>80</v>
      </c>
      <c r="B93" s="765">
        <v>42989</v>
      </c>
      <c r="C93" s="764">
        <v>80</v>
      </c>
      <c r="D93" s="766">
        <v>27.8643</v>
      </c>
      <c r="E93" s="766">
        <v>18.5</v>
      </c>
      <c r="F93" s="766">
        <f t="shared" si="9"/>
        <v>-749.14400000000001</v>
      </c>
      <c r="G93" s="766">
        <f t="shared" si="10"/>
        <v>2229.1440000000002</v>
      </c>
      <c r="H93" s="768">
        <f t="shared" si="11"/>
        <v>-0.33606801534580089</v>
      </c>
      <c r="I93" s="768"/>
    </row>
    <row r="94" spans="1:9" x14ac:dyDescent="0.25">
      <c r="A94" s="764">
        <v>80</v>
      </c>
      <c r="B94" s="765">
        <v>42996</v>
      </c>
      <c r="C94" s="764">
        <v>180</v>
      </c>
      <c r="D94" s="766">
        <v>22.1341</v>
      </c>
      <c r="E94" s="766">
        <v>16.989999999999998</v>
      </c>
      <c r="F94" s="766">
        <f t="shared" si="9"/>
        <v>-925.93800000000033</v>
      </c>
      <c r="G94" s="766">
        <f t="shared" si="10"/>
        <v>3984.1379999999999</v>
      </c>
      <c r="H94" s="768">
        <f t="shared" si="11"/>
        <v>-0.23240610641498871</v>
      </c>
      <c r="I94" s="768"/>
    </row>
    <row r="95" spans="1:9" x14ac:dyDescent="0.25">
      <c r="A95" s="764">
        <v>0</v>
      </c>
      <c r="B95" s="765">
        <v>43010</v>
      </c>
      <c r="C95" s="764">
        <v>100</v>
      </c>
      <c r="D95" s="766">
        <v>24.8977</v>
      </c>
      <c r="E95" s="766">
        <v>18.47</v>
      </c>
      <c r="F95" s="766">
        <f t="shared" si="9"/>
        <v>-642.77000000000021</v>
      </c>
      <c r="G95" s="766">
        <f t="shared" si="10"/>
        <v>2489.77</v>
      </c>
      <c r="H95" s="768">
        <f t="shared" si="11"/>
        <v>-0.25816440876064861</v>
      </c>
      <c r="I95" s="768"/>
    </row>
    <row r="96" spans="1:9" x14ac:dyDescent="0.25">
      <c r="A96" s="764">
        <v>0</v>
      </c>
      <c r="B96" s="765">
        <v>43011</v>
      </c>
      <c r="C96" s="764">
        <v>180</v>
      </c>
      <c r="D96" s="766">
        <v>21.809799999999999</v>
      </c>
      <c r="E96" s="766">
        <v>18.82</v>
      </c>
      <c r="F96" s="766">
        <f t="shared" si="9"/>
        <v>-538.16399999999976</v>
      </c>
      <c r="G96" s="766">
        <f t="shared" si="10"/>
        <v>3925.7639999999997</v>
      </c>
      <c r="H96" s="768">
        <f t="shared" si="11"/>
        <v>-0.13708516355033054</v>
      </c>
      <c r="I96" s="766">
        <v>21.5</v>
      </c>
    </row>
    <row r="97" spans="1:9" x14ac:dyDescent="0.25">
      <c r="A97" s="764">
        <v>0</v>
      </c>
      <c r="B97" s="765">
        <v>43012</v>
      </c>
      <c r="C97" s="764">
        <v>180</v>
      </c>
      <c r="D97" s="766">
        <v>21.81</v>
      </c>
      <c r="E97" s="766">
        <v>16.079999999999998</v>
      </c>
      <c r="F97" s="766">
        <f t="shared" si="9"/>
        <v>-1031.4000000000001</v>
      </c>
      <c r="G97" s="766">
        <f t="shared" si="10"/>
        <v>3925.7999999999997</v>
      </c>
      <c r="H97" s="768">
        <f t="shared" si="11"/>
        <v>-0.2627235213204952</v>
      </c>
      <c r="I97" s="768"/>
    </row>
    <row r="98" spans="1:9" x14ac:dyDescent="0.25">
      <c r="A98" s="764">
        <v>0</v>
      </c>
      <c r="B98" s="765">
        <v>43013</v>
      </c>
      <c r="C98" s="764">
        <v>280</v>
      </c>
      <c r="D98" s="766">
        <v>19.663499999999999</v>
      </c>
      <c r="E98" s="766">
        <v>15.68</v>
      </c>
      <c r="F98" s="766">
        <f t="shared" si="9"/>
        <v>-1115.3799999999999</v>
      </c>
      <c r="G98" s="766">
        <f t="shared" si="10"/>
        <v>5505.78</v>
      </c>
      <c r="H98" s="768">
        <f t="shared" si="11"/>
        <v>-0.2025834668294047</v>
      </c>
      <c r="I98" s="766">
        <v>19.5</v>
      </c>
    </row>
    <row r="99" spans="1:9" x14ac:dyDescent="0.25">
      <c r="A99" s="764">
        <v>100</v>
      </c>
      <c r="B99" s="765">
        <v>43031</v>
      </c>
      <c r="C99" s="764">
        <v>280</v>
      </c>
      <c r="D99" s="766">
        <v>19.663499999999999</v>
      </c>
      <c r="E99" s="766">
        <v>14.54</v>
      </c>
      <c r="F99" s="766">
        <f t="shared" si="9"/>
        <v>-1434.58</v>
      </c>
      <c r="G99" s="766">
        <f t="shared" si="10"/>
        <v>5505.78</v>
      </c>
      <c r="H99" s="768">
        <f t="shared" si="11"/>
        <v>-0.26055890355226691</v>
      </c>
      <c r="I99" s="766"/>
    </row>
    <row r="100" spans="1:9" x14ac:dyDescent="0.25">
      <c r="A100" s="764"/>
      <c r="B100" s="765">
        <v>43044</v>
      </c>
      <c r="C100" s="764">
        <v>480</v>
      </c>
      <c r="D100" s="766">
        <v>16.170000000000002</v>
      </c>
      <c r="E100" s="766">
        <v>11.4</v>
      </c>
      <c r="F100" s="766">
        <f t="shared" si="9"/>
        <v>-2289.6000000000008</v>
      </c>
      <c r="G100" s="766">
        <f t="shared" si="10"/>
        <v>7761.6</v>
      </c>
      <c r="H100" s="768">
        <f t="shared" si="11"/>
        <v>-0.29499072356215217</v>
      </c>
      <c r="I100" s="768"/>
    </row>
    <row r="101" spans="1:9" x14ac:dyDescent="0.25">
      <c r="A101" s="764">
        <v>80</v>
      </c>
      <c r="B101" s="765">
        <v>43045</v>
      </c>
      <c r="C101" s="764">
        <v>280</v>
      </c>
      <c r="D101" s="766">
        <v>19.092300000000002</v>
      </c>
      <c r="E101" s="766">
        <v>12.41</v>
      </c>
      <c r="F101" s="766">
        <f t="shared" si="9"/>
        <v>-1871.0440000000003</v>
      </c>
      <c r="G101" s="766">
        <f t="shared" si="10"/>
        <v>5345.8440000000001</v>
      </c>
      <c r="H101" s="768">
        <f t="shared" si="11"/>
        <v>-0.34999973811431839</v>
      </c>
      <c r="I101" s="769" t="s">
        <v>780</v>
      </c>
    </row>
    <row r="102" spans="1:9" x14ac:dyDescent="0.25">
      <c r="A102" s="764">
        <v>0</v>
      </c>
      <c r="B102" s="765">
        <v>43070</v>
      </c>
      <c r="C102" s="764">
        <v>200</v>
      </c>
      <c r="D102" s="766">
        <v>20.621300000000002</v>
      </c>
      <c r="E102" s="766">
        <v>15.26</v>
      </c>
      <c r="F102" s="766">
        <f t="shared" si="9"/>
        <v>-1072.2600000000004</v>
      </c>
      <c r="G102" s="766">
        <f t="shared" si="10"/>
        <v>4124.26</v>
      </c>
      <c r="H102" s="768">
        <f t="shared" si="11"/>
        <v>-0.25998845853559188</v>
      </c>
      <c r="I102" s="768"/>
    </row>
    <row r="103" spans="1:9" x14ac:dyDescent="0.25">
      <c r="A103" s="764">
        <v>200</v>
      </c>
      <c r="B103" s="765">
        <v>43077</v>
      </c>
      <c r="C103" s="764">
        <v>200</v>
      </c>
      <c r="D103" s="766">
        <v>20.62</v>
      </c>
      <c r="E103" s="766">
        <v>16.059999999999999</v>
      </c>
      <c r="F103" s="766">
        <f t="shared" si="9"/>
        <v>-912.00000000000045</v>
      </c>
      <c r="G103" s="766">
        <f t="shared" si="10"/>
        <v>4124</v>
      </c>
      <c r="H103" s="768">
        <f t="shared" si="11"/>
        <v>-0.22114451988360825</v>
      </c>
      <c r="I103" s="768"/>
    </row>
    <row r="104" spans="1:9" x14ac:dyDescent="0.25">
      <c r="A104" s="764">
        <v>200</v>
      </c>
      <c r="B104" s="765">
        <v>43082</v>
      </c>
      <c r="C104" s="764">
        <v>200</v>
      </c>
      <c r="D104" s="766">
        <v>20.52</v>
      </c>
      <c r="E104" s="766">
        <v>15.7</v>
      </c>
      <c r="F104" s="766">
        <f t="shared" si="9"/>
        <v>-964</v>
      </c>
      <c r="G104" s="766">
        <f t="shared" si="10"/>
        <v>4104</v>
      </c>
      <c r="H104" s="768">
        <f t="shared" si="11"/>
        <v>-0.23489278752436649</v>
      </c>
      <c r="I104" s="768" t="s">
        <v>185</v>
      </c>
    </row>
    <row r="105" spans="1:9" x14ac:dyDescent="0.25">
      <c r="A105" s="764">
        <v>200</v>
      </c>
      <c r="B105" s="765">
        <v>43083</v>
      </c>
      <c r="C105" s="764">
        <v>200</v>
      </c>
      <c r="D105" s="766">
        <v>20.520199999999999</v>
      </c>
      <c r="E105" s="766">
        <v>19.22</v>
      </c>
      <c r="F105" s="766">
        <f t="shared" si="9"/>
        <v>-260.04000000000008</v>
      </c>
      <c r="G105" s="766">
        <f t="shared" si="10"/>
        <v>4104.04</v>
      </c>
      <c r="H105" s="768">
        <f t="shared" si="11"/>
        <v>-6.3361955536495762E-2</v>
      </c>
      <c r="I105" s="768"/>
    </row>
    <row r="106" spans="1:9" x14ac:dyDescent="0.25">
      <c r="A106" s="764">
        <v>100</v>
      </c>
      <c r="B106" s="765">
        <v>43111</v>
      </c>
      <c r="C106" s="764">
        <v>100</v>
      </c>
      <c r="D106" s="766">
        <v>19.73</v>
      </c>
      <c r="E106" s="766">
        <v>21.74</v>
      </c>
      <c r="F106" s="766">
        <f t="shared" si="9"/>
        <v>200.9999999999998</v>
      </c>
      <c r="G106" s="766">
        <f t="shared" si="10"/>
        <v>1973</v>
      </c>
      <c r="H106" s="768">
        <f t="shared" si="11"/>
        <v>0.10187531677648241</v>
      </c>
      <c r="I106" s="768"/>
    </row>
    <row r="107" spans="1:9" x14ac:dyDescent="0.25">
      <c r="A107" s="764"/>
      <c r="B107" s="765">
        <v>43112</v>
      </c>
      <c r="C107" s="764">
        <v>0</v>
      </c>
      <c r="D107" s="766"/>
      <c r="E107" s="766">
        <v>22.07</v>
      </c>
      <c r="F107" s="766">
        <v>284.97000000000003</v>
      </c>
      <c r="G107" s="766"/>
      <c r="H107" s="768"/>
      <c r="I107" s="768"/>
    </row>
    <row r="108" spans="1:9" x14ac:dyDescent="0.25">
      <c r="A108" s="764"/>
      <c r="B108" s="765"/>
      <c r="C108" s="764"/>
      <c r="D108" s="766"/>
      <c r="E108" s="766"/>
      <c r="F108" s="766"/>
      <c r="G108" s="766"/>
      <c r="H108" s="768"/>
      <c r="I108" s="768"/>
    </row>
    <row r="109" spans="1:9" x14ac:dyDescent="0.25">
      <c r="A109" s="764"/>
      <c r="B109" s="765"/>
      <c r="C109" s="764"/>
      <c r="D109" s="766"/>
      <c r="E109" s="766"/>
      <c r="F109" s="766"/>
      <c r="G109" s="766"/>
      <c r="H109" s="768"/>
      <c r="I109" s="768"/>
    </row>
    <row r="110" spans="1:9" x14ac:dyDescent="0.25">
      <c r="A110" s="764"/>
      <c r="B110" s="765"/>
      <c r="C110" s="764"/>
      <c r="D110" s="766"/>
      <c r="E110" s="766"/>
      <c r="F110" s="766"/>
      <c r="G110" s="766"/>
      <c r="H110" s="768"/>
      <c r="I110" s="768"/>
    </row>
    <row r="111" spans="1:9" x14ac:dyDescent="0.25">
      <c r="A111" s="764"/>
      <c r="B111" s="765"/>
      <c r="C111" s="764"/>
      <c r="D111" s="766"/>
      <c r="E111" s="766"/>
      <c r="F111" s="766"/>
      <c r="G111" s="766"/>
      <c r="H111" s="768"/>
      <c r="I111" s="768"/>
    </row>
    <row r="112" spans="1:9" x14ac:dyDescent="0.25">
      <c r="A112" s="764"/>
      <c r="B112" s="765"/>
      <c r="C112" s="764"/>
      <c r="D112" s="766"/>
      <c r="E112" s="766"/>
      <c r="F112" s="766"/>
      <c r="G112" s="766"/>
      <c r="H112" s="768"/>
      <c r="I112" s="768"/>
    </row>
    <row r="113" spans="1:9" x14ac:dyDescent="0.25">
      <c r="A113" s="764"/>
      <c r="B113" s="765"/>
      <c r="C113" s="764"/>
      <c r="D113" s="766"/>
      <c r="E113" s="766"/>
      <c r="F113" s="766"/>
      <c r="G113" s="766"/>
      <c r="H113" s="768"/>
      <c r="I113" s="768"/>
    </row>
    <row r="114" spans="1:9" x14ac:dyDescent="0.25">
      <c r="A114" s="764"/>
      <c r="B114" s="765"/>
      <c r="C114" s="764"/>
      <c r="D114" s="766"/>
      <c r="E114" s="766"/>
      <c r="F114" s="766"/>
      <c r="G114" s="766"/>
      <c r="H114" s="768"/>
      <c r="I114" s="768"/>
    </row>
    <row r="115" spans="1:9" x14ac:dyDescent="0.25">
      <c r="A115" s="764"/>
      <c r="B115" s="765"/>
      <c r="C115" s="764"/>
      <c r="D115" s="766"/>
      <c r="E115" s="766"/>
      <c r="F115" s="766"/>
      <c r="G115" s="766"/>
      <c r="H115" s="768"/>
      <c r="I115" s="768"/>
    </row>
    <row r="116" spans="1:9" x14ac:dyDescent="0.25">
      <c r="A116" s="764"/>
      <c r="B116" s="765"/>
      <c r="C116" s="764"/>
      <c r="D116" s="766"/>
      <c r="E116" s="766"/>
      <c r="F116" s="766"/>
      <c r="G116" s="766"/>
      <c r="H116" s="768"/>
      <c r="I116" s="768"/>
    </row>
    <row r="117" spans="1:9" x14ac:dyDescent="0.25">
      <c r="A117" s="764"/>
      <c r="B117" s="765"/>
      <c r="C117" s="764"/>
      <c r="D117" s="766"/>
      <c r="E117" s="766"/>
      <c r="F117" s="766"/>
      <c r="G117" s="766"/>
      <c r="H117" s="768"/>
      <c r="I117" s="768"/>
    </row>
    <row r="118" spans="1:9" x14ac:dyDescent="0.25">
      <c r="A118" s="764"/>
      <c r="B118" s="765"/>
      <c r="C118" s="764"/>
      <c r="D118" s="766"/>
      <c r="E118" s="766"/>
      <c r="F118" s="766"/>
      <c r="G118" s="766"/>
      <c r="H118" s="768"/>
      <c r="I118" s="76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9" priority="99">
      <formula>F27&gt;0</formula>
    </cfRule>
    <cfRule type="expression" dxfId="248" priority="100">
      <formula>F27&lt;0</formula>
    </cfRule>
  </conditionalFormatting>
  <conditionalFormatting sqref="H27:H28">
    <cfRule type="expression" dxfId="247" priority="97">
      <formula>H27&gt;0</formula>
    </cfRule>
    <cfRule type="expression" dxfId="246" priority="98">
      <formula>H27&lt;0</formula>
    </cfRule>
  </conditionalFormatting>
  <conditionalFormatting sqref="H29:H30">
    <cfRule type="expression" dxfId="245" priority="93">
      <formula>H29&gt;0</formula>
    </cfRule>
    <cfRule type="expression" dxfId="244" priority="94">
      <formula>H29&lt;0</formula>
    </cfRule>
  </conditionalFormatting>
  <conditionalFormatting sqref="H31:H55">
    <cfRule type="expression" dxfId="243" priority="91">
      <formula>H31&gt;0</formula>
    </cfRule>
    <cfRule type="expression" dxfId="242" priority="92">
      <formula>H31&lt;0</formula>
    </cfRule>
  </conditionalFormatting>
  <conditionalFormatting sqref="F31">
    <cfRule type="expression" dxfId="241" priority="85">
      <formula>F31&gt;0</formula>
    </cfRule>
    <cfRule type="expression" dxfId="240" priority="86">
      <formula>F31&lt;0</formula>
    </cfRule>
  </conditionalFormatting>
  <conditionalFormatting sqref="I25:I28">
    <cfRule type="expression" dxfId="239" priority="83">
      <formula>I25&gt;0</formula>
    </cfRule>
    <cfRule type="expression" dxfId="238" priority="84">
      <formula>I25&lt;0</formula>
    </cfRule>
  </conditionalFormatting>
  <conditionalFormatting sqref="I29">
    <cfRule type="expression" dxfId="237" priority="79">
      <formula>I29&gt;0</formula>
    </cfRule>
    <cfRule type="expression" dxfId="236" priority="80">
      <formula>I29&lt;0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29:K37 J28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78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7" t="s">
        <v>78</v>
      </c>
      <c r="P40" s="84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7" t="s">
        <v>1</v>
      </c>
      <c r="B82" s="527" t="s">
        <v>2</v>
      </c>
      <c r="C82" s="527" t="s">
        <v>4</v>
      </c>
      <c r="D82" s="528" t="s">
        <v>5</v>
      </c>
      <c r="E82" s="528" t="s">
        <v>94</v>
      </c>
      <c r="F82" s="528" t="s">
        <v>60</v>
      </c>
      <c r="G82" s="527" t="s">
        <v>3</v>
      </c>
      <c r="H82" s="527" t="s">
        <v>6</v>
      </c>
      <c r="I82" s="528" t="s">
        <v>7</v>
      </c>
      <c r="J82" s="528" t="s">
        <v>95</v>
      </c>
      <c r="K82" s="528" t="s">
        <v>61</v>
      </c>
      <c r="L82" s="527" t="s">
        <v>37</v>
      </c>
      <c r="M82" s="527" t="s">
        <v>38</v>
      </c>
    </row>
    <row r="83" spans="1:13" x14ac:dyDescent="0.25">
      <c r="A83" s="529" t="s">
        <v>63</v>
      </c>
      <c r="B83" s="526">
        <v>42226</v>
      </c>
      <c r="C83" s="530">
        <v>10</v>
      </c>
      <c r="D83" s="531">
        <v>113.72</v>
      </c>
      <c r="E83" s="531">
        <v>0</v>
      </c>
      <c r="F83" s="531">
        <f t="shared" ref="F83:F92" si="12">C83*D83</f>
        <v>1137.2</v>
      </c>
      <c r="G83" s="526">
        <v>42304</v>
      </c>
      <c r="H83" s="532">
        <v>30</v>
      </c>
      <c r="I83" s="531">
        <v>111.35</v>
      </c>
      <c r="J83" s="531">
        <v>0.06</v>
      </c>
      <c r="K83" s="531">
        <f t="shared" ref="K83:K88" si="13">I83*H83-J83</f>
        <v>3340.44</v>
      </c>
      <c r="L83" s="526">
        <v>42580</v>
      </c>
      <c r="M83" s="531">
        <v>10.65</v>
      </c>
    </row>
    <row r="84" spans="1:13" x14ac:dyDescent="0.25">
      <c r="A84" s="533" t="s">
        <v>71</v>
      </c>
      <c r="B84" s="526">
        <v>42226</v>
      </c>
      <c r="C84" s="530">
        <v>5</v>
      </c>
      <c r="D84" s="531">
        <v>112.2</v>
      </c>
      <c r="E84" s="531">
        <v>0</v>
      </c>
      <c r="F84" s="531">
        <f t="shared" si="12"/>
        <v>561</v>
      </c>
      <c r="G84" s="526">
        <v>42416</v>
      </c>
      <c r="H84" s="532">
        <v>15</v>
      </c>
      <c r="I84" s="531">
        <v>92.85</v>
      </c>
      <c r="J84" s="531">
        <v>0.03</v>
      </c>
      <c r="K84" s="531">
        <f t="shared" si="13"/>
        <v>1392.72</v>
      </c>
      <c r="L84" s="530"/>
      <c r="M84" s="530"/>
    </row>
    <row r="85" spans="1:13" x14ac:dyDescent="0.25">
      <c r="A85" s="530"/>
      <c r="B85" s="526">
        <v>42226</v>
      </c>
      <c r="C85" s="530">
        <v>5</v>
      </c>
      <c r="D85" s="531">
        <v>110.93</v>
      </c>
      <c r="E85" s="531">
        <v>0</v>
      </c>
      <c r="F85" s="531">
        <f t="shared" si="12"/>
        <v>554.65000000000009</v>
      </c>
      <c r="G85" s="526">
        <v>42482</v>
      </c>
      <c r="H85" s="532">
        <v>10</v>
      </c>
      <c r="I85" s="531">
        <v>103.71</v>
      </c>
      <c r="J85" s="531">
        <v>0.02</v>
      </c>
      <c r="K85" s="531">
        <f t="shared" si="13"/>
        <v>1037.08</v>
      </c>
      <c r="L85" s="530"/>
      <c r="M85" s="530"/>
    </row>
    <row r="86" spans="1:13" x14ac:dyDescent="0.25">
      <c r="A86" s="530"/>
      <c r="B86" s="526">
        <v>42227</v>
      </c>
      <c r="C86" s="530">
        <v>10</v>
      </c>
      <c r="D86" s="531">
        <v>105</v>
      </c>
      <c r="E86" s="531">
        <v>0</v>
      </c>
      <c r="F86" s="531">
        <f t="shared" si="12"/>
        <v>1050</v>
      </c>
      <c r="G86" s="526">
        <v>42592</v>
      </c>
      <c r="H86" s="532">
        <v>15</v>
      </c>
      <c r="I86" s="531">
        <v>97.88</v>
      </c>
      <c r="J86" s="531">
        <v>0.03</v>
      </c>
      <c r="K86" s="531">
        <f t="shared" si="13"/>
        <v>1468.1699999999998</v>
      </c>
      <c r="L86" s="530"/>
      <c r="M86" s="530"/>
    </row>
    <row r="87" spans="1:13" x14ac:dyDescent="0.25">
      <c r="A87" s="530"/>
      <c r="B87" s="526">
        <v>42374</v>
      </c>
      <c r="C87" s="530">
        <v>25</v>
      </c>
      <c r="D87" s="531">
        <v>100.9</v>
      </c>
      <c r="E87" s="531">
        <v>0</v>
      </c>
      <c r="F87" s="531">
        <f t="shared" si="12"/>
        <v>2522.5</v>
      </c>
      <c r="G87" s="526">
        <v>42684</v>
      </c>
      <c r="H87" s="532">
        <v>50</v>
      </c>
      <c r="I87" s="531">
        <v>97.5</v>
      </c>
      <c r="J87" s="531">
        <v>0.11</v>
      </c>
      <c r="K87" s="531">
        <f t="shared" si="13"/>
        <v>4874.8900000000003</v>
      </c>
      <c r="L87" s="530"/>
      <c r="M87" s="530"/>
    </row>
    <row r="88" spans="1:13" x14ac:dyDescent="0.25">
      <c r="A88" s="530"/>
      <c r="B88" s="526">
        <v>42409</v>
      </c>
      <c r="C88" s="530">
        <v>15</v>
      </c>
      <c r="D88" s="531">
        <v>88.5</v>
      </c>
      <c r="E88" s="531">
        <v>0</v>
      </c>
      <c r="F88" s="531">
        <f t="shared" si="12"/>
        <v>1327.5</v>
      </c>
      <c r="G88" s="526">
        <v>42684</v>
      </c>
      <c r="H88" s="532">
        <v>20</v>
      </c>
      <c r="I88" s="531">
        <v>95.71</v>
      </c>
      <c r="J88" s="531">
        <v>0.04</v>
      </c>
      <c r="K88" s="531">
        <f t="shared" si="13"/>
        <v>1914.1599999999999</v>
      </c>
      <c r="L88" s="530"/>
      <c r="M88" s="530"/>
    </row>
    <row r="89" spans="1:13" x14ac:dyDescent="0.25">
      <c r="A89" s="530"/>
      <c r="B89" s="526">
        <v>42586</v>
      </c>
      <c r="C89" s="530">
        <v>15</v>
      </c>
      <c r="D89" s="531">
        <v>94.88</v>
      </c>
      <c r="E89" s="531">
        <v>0</v>
      </c>
      <c r="F89" s="531">
        <f t="shared" si="12"/>
        <v>1423.1999999999998</v>
      </c>
      <c r="G89" s="530"/>
      <c r="H89" s="532"/>
      <c r="I89" s="531"/>
      <c r="J89" s="531"/>
      <c r="K89" s="531"/>
      <c r="L89" s="530"/>
      <c r="M89" s="530"/>
    </row>
    <row r="90" spans="1:13" x14ac:dyDescent="0.25">
      <c r="A90" s="530"/>
      <c r="B90" s="526">
        <v>42594</v>
      </c>
      <c r="C90" s="530">
        <v>15</v>
      </c>
      <c r="D90" s="531">
        <v>96.85</v>
      </c>
      <c r="E90" s="531">
        <v>0</v>
      </c>
      <c r="F90" s="531">
        <f t="shared" si="12"/>
        <v>1452.75</v>
      </c>
      <c r="G90" s="530"/>
      <c r="H90" s="532"/>
      <c r="I90" s="531"/>
      <c r="J90" s="531"/>
      <c r="K90" s="531"/>
      <c r="L90" s="530"/>
      <c r="M90" s="530"/>
    </row>
    <row r="91" spans="1:13" x14ac:dyDescent="0.25">
      <c r="A91" s="530"/>
      <c r="B91" s="526">
        <v>42611</v>
      </c>
      <c r="C91" s="530">
        <v>25</v>
      </c>
      <c r="D91" s="531">
        <v>94.58</v>
      </c>
      <c r="E91" s="531">
        <v>0</v>
      </c>
      <c r="F91" s="531">
        <f t="shared" si="12"/>
        <v>2364.5</v>
      </c>
      <c r="G91" s="530"/>
      <c r="H91" s="530"/>
      <c r="I91" s="531"/>
      <c r="J91" s="531"/>
      <c r="K91" s="531"/>
      <c r="L91" s="530"/>
      <c r="M91" s="530"/>
    </row>
    <row r="92" spans="1:13" x14ac:dyDescent="0.25">
      <c r="A92" s="530"/>
      <c r="B92" s="526">
        <v>42622</v>
      </c>
      <c r="C92" s="530">
        <v>15</v>
      </c>
      <c r="D92" s="531">
        <v>92.5</v>
      </c>
      <c r="E92" s="531">
        <v>0</v>
      </c>
      <c r="F92" s="531">
        <f t="shared" si="12"/>
        <v>1387.5</v>
      </c>
      <c r="G92" s="530"/>
      <c r="H92" s="530"/>
      <c r="I92" s="531"/>
      <c r="J92" s="531"/>
      <c r="K92" s="531"/>
      <c r="L92" s="530"/>
      <c r="M92" s="530"/>
    </row>
    <row r="93" spans="1:13" x14ac:dyDescent="0.25">
      <c r="A93" s="530"/>
      <c r="B93" s="530"/>
      <c r="C93" s="530"/>
      <c r="D93" s="531"/>
      <c r="E93" s="531"/>
      <c r="F93" s="531"/>
      <c r="G93" s="530"/>
      <c r="H93" s="530"/>
      <c r="I93" s="531"/>
      <c r="J93" s="531"/>
      <c r="K93" s="531"/>
      <c r="L93" s="530"/>
      <c r="M93" s="530"/>
    </row>
    <row r="94" spans="1:13" x14ac:dyDescent="0.25">
      <c r="A94" s="530"/>
      <c r="B94" s="530"/>
      <c r="C94" s="530"/>
      <c r="D94" s="531"/>
      <c r="E94" s="531"/>
      <c r="F94" s="531"/>
      <c r="G94" s="530"/>
      <c r="H94" s="530"/>
      <c r="I94" s="531"/>
      <c r="J94" s="531"/>
      <c r="K94" s="531"/>
      <c r="L94" s="530"/>
      <c r="M94" s="530"/>
    </row>
    <row r="95" spans="1:13" x14ac:dyDescent="0.25">
      <c r="A95" s="530"/>
      <c r="B95" s="530"/>
      <c r="C95" s="530"/>
      <c r="D95" s="531"/>
      <c r="E95" s="531"/>
      <c r="F95" s="531"/>
      <c r="G95" s="530"/>
      <c r="H95" s="530"/>
      <c r="I95" s="531"/>
      <c r="J95" s="531"/>
      <c r="K95" s="531"/>
      <c r="L95" s="530"/>
      <c r="M95" s="530"/>
    </row>
    <row r="96" spans="1:13" x14ac:dyDescent="0.25">
      <c r="A96" s="530"/>
      <c r="B96" s="530"/>
      <c r="C96" s="530"/>
      <c r="D96" s="531"/>
      <c r="E96" s="531"/>
      <c r="F96" s="531"/>
      <c r="G96" s="530"/>
      <c r="H96" s="530"/>
      <c r="I96" s="531"/>
      <c r="J96" s="531"/>
      <c r="K96" s="531"/>
      <c r="L96" s="530"/>
      <c r="M96" s="530"/>
    </row>
    <row r="97" spans="1:13" x14ac:dyDescent="0.25">
      <c r="A97" s="530"/>
      <c r="B97" s="530"/>
      <c r="C97" s="530"/>
      <c r="D97" s="531"/>
      <c r="E97" s="531"/>
      <c r="F97" s="531"/>
      <c r="G97" s="530"/>
      <c r="H97" s="530"/>
      <c r="I97" s="531"/>
      <c r="J97" s="531"/>
      <c r="K97" s="531"/>
      <c r="L97" s="530"/>
      <c r="M97" s="530"/>
    </row>
    <row r="98" spans="1:13" x14ac:dyDescent="0.25">
      <c r="A98" s="530"/>
      <c r="B98" s="530"/>
      <c r="C98" s="530"/>
      <c r="D98" s="531"/>
      <c r="E98" s="531"/>
      <c r="F98" s="531"/>
      <c r="G98" s="530"/>
      <c r="H98" s="530"/>
      <c r="I98" s="531"/>
      <c r="J98" s="531"/>
      <c r="K98" s="531"/>
      <c r="L98" s="530"/>
      <c r="M98" s="530"/>
    </row>
    <row r="99" spans="1:13" x14ac:dyDescent="0.25">
      <c r="A99" s="534" t="s">
        <v>81</v>
      </c>
      <c r="B99" s="535"/>
      <c r="C99" s="535">
        <f>SUM(C83:C92)</f>
        <v>140</v>
      </c>
      <c r="D99" s="536"/>
      <c r="E99" s="536"/>
      <c r="F99" s="536">
        <f>SUM(F83:F92)</f>
        <v>13780.8</v>
      </c>
      <c r="G99" s="535"/>
      <c r="H99" s="537">
        <f>SUM(H83:H88)</f>
        <v>140</v>
      </c>
      <c r="I99" s="536"/>
      <c r="J99" s="536"/>
      <c r="K99" s="536">
        <f>SUM(K83:K88)</f>
        <v>14027.46</v>
      </c>
      <c r="L99" s="535"/>
      <c r="M99" s="536">
        <f>SUM(M83:M86)</f>
        <v>10.65</v>
      </c>
    </row>
    <row r="100" spans="1:13" ht="15.75" thickBot="1" x14ac:dyDescent="0.3">
      <c r="A100" s="538" t="s">
        <v>194</v>
      </c>
      <c r="B100" s="539"/>
      <c r="C100" s="540">
        <f>SumByColor($A$19,C83:C98)</f>
        <v>0</v>
      </c>
      <c r="D100" s="540"/>
      <c r="E100" s="540"/>
      <c r="F100" s="541">
        <f>SumByColor($A$19,F83:F98)</f>
        <v>0</v>
      </c>
      <c r="G100" s="540"/>
      <c r="H100" s="540">
        <f>SumByColor($A$19,H83:H98)</f>
        <v>0</v>
      </c>
      <c r="I100" s="540"/>
      <c r="J100" s="540"/>
      <c r="K100" s="541">
        <f>SumByColor($A$19,K83:K98)</f>
        <v>0</v>
      </c>
      <c r="L100" s="540"/>
      <c r="M100" s="54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9">
        <f>IF(Q2=0, Q4, (F29-M29-K29)/Q2)</f>
        <v>7.88</v>
      </c>
      <c r="T3" s="1"/>
    </row>
    <row r="4" spans="1:21" x14ac:dyDescent="0.25">
      <c r="B4" s="47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78">
        <v>0</v>
      </c>
      <c r="T4" s="158"/>
    </row>
    <row r="5" spans="1:21" x14ac:dyDescent="0.25">
      <c r="B5" s="47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7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7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7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7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7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7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7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7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7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5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504</v>
      </c>
      <c r="K35" s="223" t="s">
        <v>150</v>
      </c>
    </row>
    <row r="36" spans="2:21" x14ac:dyDescent="0.25">
      <c r="B36" s="187">
        <v>42629</v>
      </c>
      <c r="C36" s="231">
        <v>400</v>
      </c>
      <c r="D36" s="51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7" t="s">
        <v>78</v>
      </c>
      <c r="P40" s="847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1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1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655</v>
      </c>
    </row>
    <row r="46" spans="2:21" x14ac:dyDescent="0.25">
      <c r="B46" s="187">
        <v>42670</v>
      </c>
      <c r="C46" s="231">
        <v>400</v>
      </c>
      <c r="D46" s="512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2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656</v>
      </c>
    </row>
    <row r="47" spans="2:21" x14ac:dyDescent="0.25">
      <c r="B47" s="187">
        <v>42674</v>
      </c>
      <c r="C47" s="7">
        <v>800</v>
      </c>
      <c r="D47" s="511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1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56">
        <v>1500</v>
      </c>
      <c r="D49" s="557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428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657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526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658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558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350</v>
      </c>
      <c r="B61" s="187">
        <v>42754</v>
      </c>
      <c r="C61" s="556">
        <v>1500</v>
      </c>
      <c r="D61" s="557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357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450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453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466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467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1" t="s">
        <v>1</v>
      </c>
      <c r="B103" s="371" t="s">
        <v>2</v>
      </c>
      <c r="C103" s="371" t="s">
        <v>4</v>
      </c>
      <c r="D103" s="373" t="s">
        <v>5</v>
      </c>
      <c r="E103" s="373" t="s">
        <v>94</v>
      </c>
      <c r="F103" s="373" t="s">
        <v>60</v>
      </c>
      <c r="G103" s="371" t="s">
        <v>3</v>
      </c>
      <c r="H103" s="371" t="s">
        <v>6</v>
      </c>
      <c r="I103" s="373" t="s">
        <v>7</v>
      </c>
      <c r="J103" s="373" t="s">
        <v>95</v>
      </c>
      <c r="K103" s="373" t="s">
        <v>61</v>
      </c>
      <c r="L103" s="371" t="s">
        <v>37</v>
      </c>
      <c r="M103" s="371" t="s">
        <v>38</v>
      </c>
    </row>
    <row r="104" spans="1:13" x14ac:dyDescent="0.25">
      <c r="A104" s="374" t="s">
        <v>9</v>
      </c>
      <c r="B104" s="364">
        <v>42356</v>
      </c>
      <c r="C104" s="365">
        <v>250</v>
      </c>
      <c r="D104" s="366">
        <v>4.45</v>
      </c>
      <c r="E104" s="366">
        <v>0</v>
      </c>
      <c r="F104" s="366">
        <f>C104*D104+E104</f>
        <v>1112.5</v>
      </c>
      <c r="G104" s="364">
        <v>42398</v>
      </c>
      <c r="H104" s="369">
        <v>250</v>
      </c>
      <c r="I104" s="366">
        <v>4.5199999999999996</v>
      </c>
      <c r="J104" s="366">
        <v>0.02</v>
      </c>
      <c r="K104" s="366">
        <f>H104*I104-J104</f>
        <v>1129.98</v>
      </c>
      <c r="L104" s="365"/>
      <c r="M104" s="365"/>
    </row>
    <row r="105" spans="1:13" x14ac:dyDescent="0.25">
      <c r="A105" s="375"/>
      <c r="B105" s="364">
        <v>42382</v>
      </c>
      <c r="C105" s="365">
        <v>250</v>
      </c>
      <c r="D105" s="366">
        <v>4.25</v>
      </c>
      <c r="E105" s="366">
        <v>0</v>
      </c>
      <c r="F105" s="366">
        <f>C105*D105+E105</f>
        <v>1062.5</v>
      </c>
      <c r="G105" s="364">
        <v>42418</v>
      </c>
      <c r="H105" s="369">
        <v>250</v>
      </c>
      <c r="I105" s="366">
        <v>4.45</v>
      </c>
      <c r="J105" s="366">
        <v>0.02</v>
      </c>
      <c r="K105" s="366">
        <f>H105*I105-J105</f>
        <v>1112.48</v>
      </c>
      <c r="L105" s="365"/>
      <c r="M105" s="365"/>
    </row>
    <row r="106" spans="1:13" x14ac:dyDescent="0.25">
      <c r="A106" s="365"/>
      <c r="B106" s="364">
        <v>42402</v>
      </c>
      <c r="C106" s="365">
        <v>250</v>
      </c>
      <c r="D106" s="366">
        <v>4.3600000000000003</v>
      </c>
      <c r="E106" s="366">
        <v>0</v>
      </c>
      <c r="F106" s="366">
        <f>C106*D106+E106</f>
        <v>1090</v>
      </c>
      <c r="G106" s="364">
        <v>42436</v>
      </c>
      <c r="H106" s="369">
        <v>250</v>
      </c>
      <c r="I106" s="366">
        <v>5.83</v>
      </c>
      <c r="J106" s="366">
        <v>0.03</v>
      </c>
      <c r="K106" s="366">
        <f>H106*I106-J106</f>
        <v>1457.47</v>
      </c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5"/>
      <c r="H107" s="369"/>
      <c r="I107" s="366"/>
      <c r="J107" s="366"/>
      <c r="K107" s="366"/>
      <c r="L107" s="365"/>
      <c r="M107" s="365"/>
    </row>
    <row r="108" spans="1:13" x14ac:dyDescent="0.25">
      <c r="A108" s="365"/>
      <c r="B108" s="365"/>
      <c r="C108" s="365"/>
      <c r="D108" s="366"/>
      <c r="E108" s="366"/>
      <c r="F108" s="366"/>
      <c r="G108" s="365"/>
      <c r="H108" s="369"/>
      <c r="I108" s="366"/>
      <c r="J108" s="366"/>
      <c r="K108" s="366"/>
      <c r="L108" s="365"/>
      <c r="M108" s="365"/>
    </row>
    <row r="109" spans="1:13" x14ac:dyDescent="0.25">
      <c r="A109" s="365"/>
      <c r="B109" s="365"/>
      <c r="C109" s="365"/>
      <c r="D109" s="366"/>
      <c r="E109" s="366"/>
      <c r="F109" s="366"/>
      <c r="G109" s="365"/>
      <c r="H109" s="369"/>
      <c r="I109" s="366"/>
      <c r="J109" s="366"/>
      <c r="K109" s="366"/>
      <c r="L109" s="365"/>
      <c r="M109" s="365"/>
    </row>
    <row r="110" spans="1:13" x14ac:dyDescent="0.25">
      <c r="A110" s="365"/>
      <c r="B110" s="365"/>
      <c r="C110" s="365"/>
      <c r="D110" s="366"/>
      <c r="E110" s="366"/>
      <c r="F110" s="366"/>
      <c r="G110" s="365"/>
      <c r="H110" s="369"/>
      <c r="I110" s="366"/>
      <c r="J110" s="366"/>
      <c r="K110" s="366"/>
      <c r="L110" s="365"/>
      <c r="M110" s="365"/>
    </row>
    <row r="111" spans="1:13" x14ac:dyDescent="0.25">
      <c r="A111" s="365"/>
      <c r="B111" s="365"/>
      <c r="C111" s="365"/>
      <c r="D111" s="366"/>
      <c r="E111" s="366"/>
      <c r="F111" s="366"/>
      <c r="G111" s="365"/>
      <c r="H111" s="369"/>
      <c r="I111" s="366"/>
      <c r="J111" s="366"/>
      <c r="K111" s="366"/>
      <c r="L111" s="365"/>
      <c r="M111" s="365"/>
    </row>
    <row r="112" spans="1:13" x14ac:dyDescent="0.25">
      <c r="A112" s="365"/>
      <c r="B112" s="365"/>
      <c r="C112" s="365"/>
      <c r="D112" s="366"/>
      <c r="E112" s="366"/>
      <c r="F112" s="366"/>
      <c r="G112" s="365"/>
      <c r="H112" s="365"/>
      <c r="I112" s="366"/>
      <c r="J112" s="366"/>
      <c r="K112" s="366"/>
      <c r="L112" s="365"/>
      <c r="M112" s="365"/>
    </row>
    <row r="113" spans="1:13" x14ac:dyDescent="0.25">
      <c r="A113" s="365"/>
      <c r="B113" s="365"/>
      <c r="C113" s="365"/>
      <c r="D113" s="366"/>
      <c r="E113" s="366"/>
      <c r="F113" s="366"/>
      <c r="G113" s="365"/>
      <c r="H113" s="365"/>
      <c r="I113" s="366"/>
      <c r="J113" s="366"/>
      <c r="K113" s="366"/>
      <c r="L113" s="365"/>
      <c r="M113" s="365"/>
    </row>
    <row r="114" spans="1:13" x14ac:dyDescent="0.25">
      <c r="A114" s="365"/>
      <c r="B114" s="365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365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365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  <row r="117" spans="1:13" x14ac:dyDescent="0.25">
      <c r="A117" s="365"/>
      <c r="B117" s="365"/>
      <c r="C117" s="365"/>
      <c r="D117" s="366"/>
      <c r="E117" s="366"/>
      <c r="F117" s="366"/>
      <c r="G117" s="365"/>
      <c r="H117" s="365"/>
      <c r="I117" s="366"/>
      <c r="J117" s="366"/>
      <c r="K117" s="366"/>
      <c r="L117" s="365"/>
      <c r="M117" s="365"/>
    </row>
    <row r="118" spans="1:13" x14ac:dyDescent="0.25">
      <c r="A118" s="365"/>
      <c r="B118" s="365"/>
      <c r="C118" s="365"/>
      <c r="D118" s="366"/>
      <c r="E118" s="366"/>
      <c r="F118" s="366"/>
      <c r="G118" s="365"/>
      <c r="H118" s="365"/>
      <c r="I118" s="366"/>
      <c r="J118" s="366"/>
      <c r="K118" s="366"/>
      <c r="L118" s="365"/>
      <c r="M118" s="365"/>
    </row>
    <row r="119" spans="1:13" x14ac:dyDescent="0.25">
      <c r="A119" s="365"/>
      <c r="B119" s="365"/>
      <c r="C119" s="365"/>
      <c r="D119" s="366"/>
      <c r="E119" s="366"/>
      <c r="F119" s="366"/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7" t="s">
        <v>113</v>
      </c>
      <c r="C123" s="487" t="s">
        <v>146</v>
      </c>
      <c r="D123" s="488" t="s">
        <v>145</v>
      </c>
      <c r="E123" s="489" t="s">
        <v>147</v>
      </c>
      <c r="F123" s="490" t="s">
        <v>65</v>
      </c>
      <c r="G123" s="491" t="s">
        <v>151</v>
      </c>
      <c r="H123" s="490" t="s">
        <v>88</v>
      </c>
      <c r="I123" s="491" t="s">
        <v>154</v>
      </c>
    </row>
    <row r="124" spans="1:13" x14ac:dyDescent="0.25">
      <c r="B124" s="364">
        <v>42353</v>
      </c>
      <c r="C124" s="365">
        <v>250</v>
      </c>
      <c r="D124" s="492">
        <v>4.45</v>
      </c>
      <c r="E124" s="366">
        <v>4.45</v>
      </c>
      <c r="F124" s="366">
        <f>C124*(E124-D124)</f>
        <v>0</v>
      </c>
      <c r="G124" s="366">
        <f>D124*C124</f>
        <v>1112.5</v>
      </c>
      <c r="H124" s="368">
        <f>(E124-D124)/D124</f>
        <v>0</v>
      </c>
      <c r="I124" s="366"/>
    </row>
    <row r="125" spans="1:13" x14ac:dyDescent="0.25">
      <c r="B125" s="364">
        <v>42356</v>
      </c>
      <c r="C125" s="365">
        <v>250</v>
      </c>
      <c r="D125" s="492">
        <v>4.45</v>
      </c>
      <c r="E125" s="366">
        <v>4.79</v>
      </c>
      <c r="F125" s="366">
        <f>C125*(E125-D125)</f>
        <v>84.999999999999972</v>
      </c>
      <c r="G125" s="366">
        <f>D125*C125</f>
        <v>1112.5</v>
      </c>
      <c r="H125" s="368">
        <f>(E125-D125)/D125</f>
        <v>7.6404494382022431E-2</v>
      </c>
      <c r="I125" s="366"/>
    </row>
    <row r="126" spans="1:13" x14ac:dyDescent="0.25">
      <c r="B126" s="364">
        <v>42382</v>
      </c>
      <c r="C126" s="365">
        <v>500</v>
      </c>
      <c r="D126" s="492">
        <v>4.3499999999999996</v>
      </c>
      <c r="E126" s="366">
        <v>4.17</v>
      </c>
      <c r="F126" s="366">
        <f t="shared" ref="F126:F134" si="50">C126*(E126-D126)</f>
        <v>-89.999999999999858</v>
      </c>
      <c r="G126" s="366">
        <f t="shared" ref="G126:G134" si="51">D126*C126</f>
        <v>2175</v>
      </c>
      <c r="H126" s="368">
        <f t="shared" ref="H126:H134" si="52">(E126-D126)/D126</f>
        <v>-4.1379310344827523E-2</v>
      </c>
      <c r="I126" s="366"/>
    </row>
    <row r="127" spans="1:13" x14ac:dyDescent="0.25">
      <c r="B127" s="364">
        <v>42398</v>
      </c>
      <c r="C127" s="365">
        <v>250</v>
      </c>
      <c r="D127" s="492">
        <v>4.18</v>
      </c>
      <c r="E127" s="366">
        <v>4.5199999999999996</v>
      </c>
      <c r="F127" s="366">
        <f t="shared" si="50"/>
        <v>84.999999999999972</v>
      </c>
      <c r="G127" s="366">
        <f t="shared" si="51"/>
        <v>1045</v>
      </c>
      <c r="H127" s="368">
        <f t="shared" si="52"/>
        <v>8.1339712918660254E-2</v>
      </c>
      <c r="I127" s="366"/>
    </row>
    <row r="128" spans="1:13" x14ac:dyDescent="0.25">
      <c r="B128" s="364">
        <v>42402</v>
      </c>
      <c r="C128" s="365">
        <v>500</v>
      </c>
      <c r="D128" s="492">
        <v>4.2699999999999996</v>
      </c>
      <c r="E128" s="366">
        <v>4.3499999999999996</v>
      </c>
      <c r="F128" s="366">
        <f t="shared" si="50"/>
        <v>40.000000000000036</v>
      </c>
      <c r="G128" s="366">
        <f t="shared" si="51"/>
        <v>2135</v>
      </c>
      <c r="H128" s="368">
        <f t="shared" si="52"/>
        <v>1.8735362997658097E-2</v>
      </c>
      <c r="I128" s="366"/>
    </row>
    <row r="129" spans="2:9" x14ac:dyDescent="0.25">
      <c r="B129" s="364">
        <v>42403</v>
      </c>
      <c r="C129" s="365">
        <v>500</v>
      </c>
      <c r="D129" s="492">
        <v>4.2699999999999996</v>
      </c>
      <c r="E129" s="366">
        <v>4.5999999999999996</v>
      </c>
      <c r="F129" s="366">
        <f t="shared" si="50"/>
        <v>165.00000000000003</v>
      </c>
      <c r="G129" s="366">
        <f t="shared" si="51"/>
        <v>2135</v>
      </c>
      <c r="H129" s="368">
        <f t="shared" si="52"/>
        <v>7.7283372365339609E-2</v>
      </c>
      <c r="I129" s="366"/>
    </row>
    <row r="130" spans="2:9" x14ac:dyDescent="0.25">
      <c r="B130" s="364">
        <v>42418</v>
      </c>
      <c r="C130" s="365">
        <v>250</v>
      </c>
      <c r="D130" s="492">
        <v>4.09</v>
      </c>
      <c r="E130" s="366">
        <v>4.25</v>
      </c>
      <c r="F130" s="366">
        <f t="shared" si="50"/>
        <v>40.000000000000036</v>
      </c>
      <c r="G130" s="366">
        <f t="shared" si="51"/>
        <v>1022.5</v>
      </c>
      <c r="H130" s="368">
        <f t="shared" si="52"/>
        <v>3.911980440097803E-2</v>
      </c>
      <c r="I130" s="366"/>
    </row>
    <row r="131" spans="2:9" x14ac:dyDescent="0.25">
      <c r="B131" s="364">
        <v>42421</v>
      </c>
      <c r="C131" s="365">
        <v>250</v>
      </c>
      <c r="D131" s="492">
        <v>4.09</v>
      </c>
      <c r="E131" s="366">
        <v>4.4400000000000004</v>
      </c>
      <c r="F131" s="366">
        <f t="shared" si="50"/>
        <v>87.500000000000128</v>
      </c>
      <c r="G131" s="366">
        <f t="shared" si="51"/>
        <v>1022.5</v>
      </c>
      <c r="H131" s="368">
        <f t="shared" si="52"/>
        <v>8.5574572127139495E-2</v>
      </c>
      <c r="I131" s="366"/>
    </row>
    <row r="132" spans="2:9" x14ac:dyDescent="0.25">
      <c r="B132" s="364">
        <v>42424</v>
      </c>
      <c r="C132" s="365">
        <v>250</v>
      </c>
      <c r="D132" s="492">
        <v>4.09</v>
      </c>
      <c r="E132" s="366">
        <v>5.3</v>
      </c>
      <c r="F132" s="366">
        <f t="shared" si="50"/>
        <v>302.5</v>
      </c>
      <c r="G132" s="366">
        <f t="shared" si="51"/>
        <v>1022.5</v>
      </c>
      <c r="H132" s="368">
        <f t="shared" si="52"/>
        <v>0.29584352078239606</v>
      </c>
      <c r="I132" s="366"/>
    </row>
    <row r="133" spans="2:9" x14ac:dyDescent="0.25">
      <c r="B133" s="364">
        <v>42430</v>
      </c>
      <c r="C133" s="365">
        <v>250</v>
      </c>
      <c r="D133" s="492">
        <v>4.09</v>
      </c>
      <c r="E133" s="366">
        <v>5.47</v>
      </c>
      <c r="F133" s="446">
        <f t="shared" si="50"/>
        <v>345</v>
      </c>
      <c r="G133" s="366">
        <f t="shared" si="51"/>
        <v>1022.5</v>
      </c>
      <c r="H133" s="368">
        <f t="shared" si="52"/>
        <v>0.33740831295843521</v>
      </c>
      <c r="I133" s="366"/>
    </row>
    <row r="134" spans="2:9" x14ac:dyDescent="0.25">
      <c r="B134" s="364">
        <v>42431</v>
      </c>
      <c r="C134" s="365">
        <v>250</v>
      </c>
      <c r="D134" s="492">
        <v>4.09</v>
      </c>
      <c r="E134" s="366">
        <v>5.63</v>
      </c>
      <c r="F134" s="446">
        <f t="shared" si="50"/>
        <v>385</v>
      </c>
      <c r="G134" s="366">
        <f t="shared" si="51"/>
        <v>1022.5</v>
      </c>
      <c r="H134" s="368">
        <f t="shared" si="52"/>
        <v>0.37652811735941322</v>
      </c>
      <c r="I134" s="366"/>
    </row>
    <row r="135" spans="2:9" x14ac:dyDescent="0.25">
      <c r="B135" s="364">
        <v>42436</v>
      </c>
      <c r="C135" s="365">
        <v>0</v>
      </c>
      <c r="D135" s="492"/>
      <c r="E135" s="366">
        <v>5.79</v>
      </c>
      <c r="F135" s="446">
        <v>434.93</v>
      </c>
      <c r="G135" s="366"/>
      <c r="H135" s="368"/>
      <c r="I135" s="36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9">
        <v>43133</v>
      </c>
    </row>
    <row r="2" spans="1:40" x14ac:dyDescent="0.25">
      <c r="A2" s="6" t="s">
        <v>55</v>
      </c>
      <c r="B2" s="77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1">
        <v>28.5</v>
      </c>
      <c r="O2" s="11" t="s">
        <v>57</v>
      </c>
      <c r="Q2">
        <f>C24-H24</f>
        <v>50</v>
      </c>
      <c r="T2" s="1">
        <v>43096</v>
      </c>
      <c r="U2" t="s">
        <v>827</v>
      </c>
      <c r="W2" t="s">
        <v>825</v>
      </c>
      <c r="X2" s="745" t="s">
        <v>809</v>
      </c>
      <c r="Y2" s="771">
        <v>11.5</v>
      </c>
      <c r="Z2" s="771">
        <v>11.5</v>
      </c>
      <c r="AA2" s="2">
        <v>10.6</v>
      </c>
      <c r="AB2" s="2">
        <v>9.5</v>
      </c>
      <c r="AC2" s="771">
        <v>9.83</v>
      </c>
      <c r="AD2">
        <v>11</v>
      </c>
      <c r="AE2" s="744">
        <v>9.98</v>
      </c>
      <c r="AF2" s="744">
        <v>10.199999999999999</v>
      </c>
      <c r="AG2" s="744">
        <v>10.4</v>
      </c>
      <c r="AH2" s="11"/>
      <c r="AI2" s="11"/>
      <c r="AJ2" s="11"/>
      <c r="AK2" s="746"/>
      <c r="AL2" s="746"/>
      <c r="AM2" s="746"/>
      <c r="AN2" s="74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2"/>
      <c r="O3" s="11" t="s">
        <v>58</v>
      </c>
      <c r="Q3" s="224">
        <f>(F24-K24-M24)/Q2</f>
        <v>71.080000000000013</v>
      </c>
      <c r="U3" t="s">
        <v>828</v>
      </c>
      <c r="X3" s="745" t="s">
        <v>810</v>
      </c>
      <c r="Y3" s="771">
        <v>25</v>
      </c>
      <c r="Z3" s="771">
        <v>24.6</v>
      </c>
      <c r="AA3" s="2">
        <v>23.3</v>
      </c>
      <c r="AB3" s="2">
        <v>20.6</v>
      </c>
      <c r="AC3" s="771">
        <v>23.3</v>
      </c>
      <c r="AD3">
        <v>26.3</v>
      </c>
      <c r="AE3" s="744">
        <v>24.8</v>
      </c>
      <c r="AF3" s="744">
        <v>25.5</v>
      </c>
      <c r="AG3" s="744">
        <v>26.5</v>
      </c>
      <c r="AH3" s="746"/>
      <c r="AI3" s="746"/>
      <c r="AJ3" s="746"/>
      <c r="AK3" s="746"/>
      <c r="AL3" s="746"/>
      <c r="AM3" s="744"/>
      <c r="AN3" s="744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18">
        <v>75.22</v>
      </c>
      <c r="R4" s="478">
        <v>-8.9999999999999998E-4</v>
      </c>
      <c r="U4" t="s">
        <v>829</v>
      </c>
      <c r="X4" s="745" t="s">
        <v>811</v>
      </c>
      <c r="Y4" s="771">
        <v>28.5</v>
      </c>
      <c r="Z4" s="771">
        <v>28.8</v>
      </c>
      <c r="AA4" s="2">
        <v>26.9</v>
      </c>
      <c r="AB4" s="2">
        <v>23.9</v>
      </c>
      <c r="AC4" s="771">
        <v>26.6</v>
      </c>
      <c r="AD4">
        <v>30</v>
      </c>
      <c r="AE4" s="744">
        <v>28.5</v>
      </c>
      <c r="AF4" s="744">
        <v>29.3</v>
      </c>
      <c r="AG4" s="744">
        <v>29.9</v>
      </c>
      <c r="AH4" s="775"/>
      <c r="AI4" s="744"/>
      <c r="AK4" s="744"/>
      <c r="AL4" s="744"/>
      <c r="AM4" s="744"/>
      <c r="AN4" s="744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3761</v>
      </c>
      <c r="T5" s="1"/>
      <c r="X5" s="745" t="s">
        <v>812</v>
      </c>
      <c r="Y5" s="771">
        <v>35.200000000000003</v>
      </c>
      <c r="Z5" s="771">
        <v>34.5</v>
      </c>
      <c r="AA5" s="2">
        <v>33.1</v>
      </c>
      <c r="AB5" s="2">
        <v>28.5</v>
      </c>
      <c r="AC5" s="771">
        <v>31.6</v>
      </c>
      <c r="AD5">
        <v>33.799999999999997</v>
      </c>
      <c r="AE5" s="780" t="s">
        <v>836</v>
      </c>
      <c r="AF5" s="744" t="s">
        <v>836</v>
      </c>
      <c r="AG5" s="744" t="s">
        <v>836</v>
      </c>
      <c r="AH5" s="775"/>
      <c r="AI5" s="744"/>
      <c r="AK5" s="744"/>
      <c r="AL5" s="744"/>
      <c r="AM5" s="744"/>
      <c r="AN5" s="744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839</v>
      </c>
      <c r="X6" s="745" t="s">
        <v>813</v>
      </c>
      <c r="Y6" s="771">
        <v>56</v>
      </c>
      <c r="Z6" s="771">
        <v>56.1</v>
      </c>
      <c r="AA6" s="2">
        <v>53.9</v>
      </c>
      <c r="AB6" s="2">
        <v>47.4</v>
      </c>
      <c r="AC6" s="771">
        <v>52.9</v>
      </c>
      <c r="AD6">
        <v>59.7</v>
      </c>
      <c r="AE6" s="744">
        <v>55.4</v>
      </c>
      <c r="AF6" s="744">
        <v>57.8</v>
      </c>
      <c r="AG6" s="744">
        <v>59.8</v>
      </c>
      <c r="AH6" s="775"/>
      <c r="AI6" s="744"/>
      <c r="AK6" s="744"/>
      <c r="AL6" s="744"/>
      <c r="AM6" s="744"/>
      <c r="AN6" s="744"/>
    </row>
    <row r="7" spans="1:40" x14ac:dyDescent="0.25">
      <c r="A7" s="611"/>
      <c r="B7" s="776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1017.1299999999896</v>
      </c>
      <c r="R7">
        <v>50</v>
      </c>
      <c r="X7" s="745" t="s">
        <v>814</v>
      </c>
      <c r="Y7" s="771">
        <v>156.13</v>
      </c>
      <c r="Z7" s="771">
        <v>155.49</v>
      </c>
      <c r="AA7" s="2">
        <v>147.97</v>
      </c>
      <c r="AB7" s="2">
        <v>129.78</v>
      </c>
      <c r="AC7" s="771">
        <v>144.18</v>
      </c>
      <c r="AD7">
        <v>160.76</v>
      </c>
      <c r="AE7" s="744">
        <v>118.63</v>
      </c>
      <c r="AF7" s="744">
        <v>122.86</v>
      </c>
      <c r="AG7" s="744">
        <v>126.61</v>
      </c>
      <c r="AH7" s="775"/>
      <c r="AI7" s="744"/>
      <c r="AN7" s="744"/>
    </row>
    <row r="8" spans="1:40" x14ac:dyDescent="0.25">
      <c r="A8" s="611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206.99999999999955</v>
      </c>
      <c r="T8" s="1">
        <v>43109</v>
      </c>
      <c r="U8" t="s">
        <v>875</v>
      </c>
      <c r="X8" s="745" t="s">
        <v>826</v>
      </c>
      <c r="Z8" s="742">
        <f>(Z7-Y7)/Y7</f>
        <v>-4.0991481457758683E-3</v>
      </c>
      <c r="AA8" s="742">
        <f>(AA7-Z7)/Z7</f>
        <v>-4.8363238793491609E-2</v>
      </c>
      <c r="AB8" s="742">
        <f>(AB7-AA7)/AA7</f>
        <v>-0.12293032371426639</v>
      </c>
      <c r="AC8" s="742">
        <f>(AC7-AB7)/AB7</f>
        <v>0.1109570041608877</v>
      </c>
      <c r="AD8" s="742">
        <f>(AD7-AC7)/AC7</f>
        <v>0.11499514495769166</v>
      </c>
      <c r="AE8" s="742">
        <f>(AE7-AD7+AD5)/(AD7-AD5)</f>
        <v>-6.5611216131064895E-2</v>
      </c>
      <c r="AF8" s="742">
        <f>(AF7-AE7)/AE7</f>
        <v>3.565708505437077E-2</v>
      </c>
      <c r="AG8" s="742">
        <f>(AG7-AF7)/AF7</f>
        <v>3.052254598730262E-2</v>
      </c>
      <c r="AH8" s="775"/>
      <c r="AI8" s="744"/>
      <c r="AN8" s="744"/>
    </row>
    <row r="9" spans="1:40" x14ac:dyDescent="0.25">
      <c r="A9" s="611"/>
      <c r="B9" s="61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5.8244231851434868E-2</v>
      </c>
      <c r="U9" t="s">
        <v>895</v>
      </c>
      <c r="X9" s="745" t="s">
        <v>837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5"/>
      <c r="AI9" s="744"/>
      <c r="AJ9" s="746"/>
      <c r="AK9" s="746"/>
      <c r="AL9" s="746"/>
      <c r="AM9" s="746"/>
    </row>
    <row r="10" spans="1:40" x14ac:dyDescent="0.25">
      <c r="A10" s="611"/>
      <c r="B10" s="61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5" t="s">
        <v>838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4"/>
      <c r="AK10" s="744"/>
      <c r="AL10" s="744"/>
      <c r="AM10" s="744"/>
    </row>
    <row r="11" spans="1:40" ht="18" x14ac:dyDescent="0.25">
      <c r="A11" s="611"/>
      <c r="B11" s="611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2.7652220154214306E-2</v>
      </c>
      <c r="R11">
        <f>0.52</f>
        <v>0.52</v>
      </c>
      <c r="T11" s="1">
        <v>43112</v>
      </c>
      <c r="U11" t="s">
        <v>892</v>
      </c>
      <c r="X11" s="745" t="s">
        <v>823</v>
      </c>
      <c r="Y11" s="742">
        <f t="shared" ref="Y11:AD11" si="4">SUM(Y2:Y5)/Y7</f>
        <v>0.64177288157304813</v>
      </c>
      <c r="Z11" s="742">
        <f t="shared" si="4"/>
        <v>0.63926940639269403</v>
      </c>
      <c r="AA11" s="742">
        <f t="shared" si="4"/>
        <v>0.63458809218084755</v>
      </c>
      <c r="AB11" s="742">
        <f t="shared" si="4"/>
        <v>0.63569116967175221</v>
      </c>
      <c r="AC11" s="742">
        <f t="shared" si="4"/>
        <v>0.63344430572894994</v>
      </c>
      <c r="AD11" s="742">
        <f t="shared" si="4"/>
        <v>0.62888778303060466</v>
      </c>
      <c r="AE11" s="742">
        <f>SUM(AE2:AE5)/(AE7-AD5)</f>
        <v>0.74596251326181773</v>
      </c>
      <c r="AF11" s="742">
        <f t="shared" ref="AF11" si="5">SUM(AF2:AF5)/AF7</f>
        <v>0.52905746377991214</v>
      </c>
      <c r="AG11" s="742">
        <f>SUM(AG2:AG5)/AG7</f>
        <v>0.52760445462443728</v>
      </c>
      <c r="AH11" s="11"/>
      <c r="AI11" s="770"/>
      <c r="AJ11" s="744"/>
      <c r="AK11" s="744"/>
      <c r="AL11" s="744"/>
      <c r="AM11" s="744"/>
    </row>
    <row r="12" spans="1:40" x14ac:dyDescent="0.25">
      <c r="A12" s="611"/>
      <c r="B12" s="611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46"/>
      <c r="Z12" s="746"/>
      <c r="AB12" s="745"/>
      <c r="AC12" s="611"/>
      <c r="AD12" s="611"/>
      <c r="AE12" s="744"/>
      <c r="AJ12" s="744"/>
      <c r="AK12" s="744"/>
      <c r="AL12" s="744"/>
      <c r="AM12" s="744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997</v>
      </c>
      <c r="Q13">
        <f>Q4/6.46</f>
        <v>11.643962848297214</v>
      </c>
      <c r="T13" s="1">
        <v>43114</v>
      </c>
      <c r="U13" t="s">
        <v>896</v>
      </c>
      <c r="W13" t="s">
        <v>824</v>
      </c>
      <c r="X13" s="745" t="s">
        <v>815</v>
      </c>
      <c r="Y13" s="747">
        <v>105.2</v>
      </c>
      <c r="Z13" s="747">
        <v>99.7</v>
      </c>
      <c r="AA13" s="81">
        <v>95.1</v>
      </c>
      <c r="AB13" s="2">
        <v>78.8</v>
      </c>
      <c r="AC13" s="771">
        <v>82.2</v>
      </c>
      <c r="AD13" s="744">
        <v>89.5</v>
      </c>
      <c r="AE13" s="744">
        <v>80.099999999999994</v>
      </c>
      <c r="AF13" s="744">
        <v>83.9</v>
      </c>
      <c r="AG13" s="744">
        <v>84.4</v>
      </c>
      <c r="AJ13" s="744"/>
      <c r="AK13" s="744"/>
      <c r="AL13" s="744"/>
      <c r="AM13" s="744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894</v>
      </c>
      <c r="X14" s="745" t="s">
        <v>816</v>
      </c>
      <c r="Y14" s="747">
        <v>1.77</v>
      </c>
      <c r="Z14" s="747">
        <v>2.23</v>
      </c>
      <c r="AA14" s="81">
        <v>1.39</v>
      </c>
      <c r="AB14" s="2">
        <v>1.42</v>
      </c>
      <c r="AC14" s="771">
        <v>1.56</v>
      </c>
      <c r="AD14" s="744">
        <v>1.73</v>
      </c>
      <c r="AE14" s="744">
        <v>1.36</v>
      </c>
      <c r="AF14" s="744">
        <v>0.93</v>
      </c>
      <c r="AG14" s="744">
        <v>1.08</v>
      </c>
      <c r="AH14" s="746"/>
      <c r="AJ14" s="744"/>
      <c r="AK14" s="744"/>
      <c r="AL14" s="744"/>
      <c r="AM14" s="744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893</v>
      </c>
      <c r="X15" s="745" t="s">
        <v>817</v>
      </c>
      <c r="Y15" s="747">
        <v>50.7</v>
      </c>
      <c r="Z15" s="747">
        <v>50.6</v>
      </c>
      <c r="AA15" s="81">
        <v>47</v>
      </c>
      <c r="AB15" s="2">
        <v>39.799999999999997</v>
      </c>
      <c r="AC15" s="771">
        <v>42.3</v>
      </c>
      <c r="AD15" s="744">
        <v>47.2</v>
      </c>
      <c r="AE15" s="744">
        <v>41.6</v>
      </c>
      <c r="AF15" s="744">
        <v>45.9</v>
      </c>
      <c r="AG15" s="744">
        <v>46.6</v>
      </c>
      <c r="AH15" s="744"/>
      <c r="AI15" s="746"/>
      <c r="AJ15" s="744"/>
      <c r="AK15" s="744"/>
      <c r="AL15" s="744"/>
      <c r="AM15" s="744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5" t="s">
        <v>818</v>
      </c>
      <c r="Y16" s="747">
        <v>1.1599999999999999</v>
      </c>
      <c r="Z16" s="747">
        <v>1.06</v>
      </c>
      <c r="AA16" s="81">
        <v>0.98</v>
      </c>
      <c r="AB16" s="2">
        <v>0.88</v>
      </c>
      <c r="AC16" s="771">
        <v>0.75</v>
      </c>
      <c r="AD16" s="744">
        <v>0.83</v>
      </c>
      <c r="AE16" s="744">
        <v>0.54</v>
      </c>
      <c r="AF16" s="744">
        <v>0.61</v>
      </c>
      <c r="AG16" s="744">
        <v>0.68</v>
      </c>
      <c r="AH16" s="744"/>
      <c r="AI16" s="744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912</v>
      </c>
      <c r="X17" s="745" t="s">
        <v>819</v>
      </c>
      <c r="Y17" s="747">
        <v>1.28</v>
      </c>
      <c r="Z17" s="747">
        <v>1.1499999999999999</v>
      </c>
      <c r="AA17" s="81">
        <v>0.61</v>
      </c>
      <c r="AB17" s="2">
        <v>0.56000000000000005</v>
      </c>
      <c r="AC17" s="771">
        <v>0.76</v>
      </c>
      <c r="AD17" s="744">
        <v>0.75</v>
      </c>
      <c r="AE17" s="744">
        <v>0.45</v>
      </c>
      <c r="AF17" s="744">
        <v>0.27</v>
      </c>
      <c r="AG17" s="744">
        <v>0.56000000000000005</v>
      </c>
      <c r="AH17" s="744"/>
      <c r="AI17" s="744"/>
      <c r="AJ17" s="770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929</v>
      </c>
      <c r="X18" s="745" t="s">
        <v>820</v>
      </c>
      <c r="Y18" s="747">
        <v>13.1</v>
      </c>
      <c r="Z18" s="747">
        <v>13.1</v>
      </c>
      <c r="AA18" s="81">
        <v>11.3</v>
      </c>
      <c r="AB18" s="2">
        <v>9.99</v>
      </c>
      <c r="AC18" s="771">
        <v>8.75</v>
      </c>
      <c r="AD18" s="744">
        <v>8.01</v>
      </c>
      <c r="AE18" s="744">
        <v>7.65</v>
      </c>
      <c r="AF18" s="744">
        <v>6.94</v>
      </c>
      <c r="AG18" s="744">
        <v>6.8</v>
      </c>
      <c r="AH18" s="744"/>
      <c r="AI18" s="744"/>
      <c r="AJ18" s="744"/>
      <c r="AK18" s="744"/>
      <c r="AL18" s="744"/>
      <c r="AM18" s="744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897</v>
      </c>
      <c r="X19" s="745" t="s">
        <v>821</v>
      </c>
      <c r="Y19" s="747">
        <v>0.03</v>
      </c>
      <c r="Z19" s="747">
        <v>0.05</v>
      </c>
      <c r="AA19" s="81" t="s">
        <v>836</v>
      </c>
      <c r="AB19" s="2" t="s">
        <v>836</v>
      </c>
      <c r="AC19" s="771" t="s">
        <v>836</v>
      </c>
      <c r="AD19" s="744" t="s">
        <v>836</v>
      </c>
      <c r="AE19" s="744" t="s">
        <v>836</v>
      </c>
      <c r="AF19" s="744">
        <v>0.02</v>
      </c>
      <c r="AG19" s="744" t="s">
        <v>836</v>
      </c>
      <c r="AH19" s="744"/>
      <c r="AI19" s="744"/>
      <c r="AJ19" s="744"/>
      <c r="AK19" s="744"/>
      <c r="AL19" s="744"/>
      <c r="AM19" s="744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5" t="s">
        <v>822</v>
      </c>
      <c r="Y20" s="747">
        <v>19.600000000000001</v>
      </c>
      <c r="Z20" s="747">
        <v>19.100000000000001</v>
      </c>
      <c r="AA20" s="81">
        <v>18.100000000000001</v>
      </c>
      <c r="AB20" s="2">
        <v>15.8</v>
      </c>
      <c r="AC20" s="771">
        <v>18.2</v>
      </c>
      <c r="AD20" s="744">
        <v>21</v>
      </c>
      <c r="AE20" s="744">
        <v>19.2</v>
      </c>
      <c r="AF20" s="744">
        <v>23.3</v>
      </c>
      <c r="AG20" s="744">
        <v>24.2</v>
      </c>
      <c r="AH20" s="744"/>
      <c r="AI20" s="744"/>
      <c r="AJ20" s="744"/>
      <c r="AK20" s="744"/>
      <c r="AL20" s="744"/>
      <c r="AM20" s="744"/>
    </row>
    <row r="21" spans="1:39" x14ac:dyDescent="0.25">
      <c r="X21" s="745" t="s">
        <v>814</v>
      </c>
      <c r="Y21" s="747">
        <v>192.89</v>
      </c>
      <c r="Z21" s="747">
        <v>187</v>
      </c>
      <c r="AA21" s="81">
        <v>174.4</v>
      </c>
      <c r="AB21" s="81">
        <v>147.34</v>
      </c>
      <c r="AC21" s="771">
        <v>154.44</v>
      </c>
      <c r="AD21" s="744">
        <v>169.08</v>
      </c>
      <c r="AE21" s="744">
        <v>150.96</v>
      </c>
      <c r="AF21" s="744">
        <v>161.86000000000001</v>
      </c>
      <c r="AG21" s="744">
        <v>164.44</v>
      </c>
      <c r="AH21" s="744"/>
      <c r="AI21" s="744"/>
      <c r="AJ21" s="744"/>
      <c r="AK21" s="744"/>
      <c r="AL21" s="744"/>
      <c r="AM21" s="744"/>
    </row>
    <row r="22" spans="1:39" x14ac:dyDescent="0.25">
      <c r="X22" s="745" t="s">
        <v>826</v>
      </c>
      <c r="Y22" s="81"/>
      <c r="Z22" s="748">
        <f t="shared" ref="Z22:AF22" si="6">(Z21-Y21)/Y21</f>
        <v>-3.0535538389755749E-2</v>
      </c>
      <c r="AA22" s="748">
        <f t="shared" si="6"/>
        <v>-6.7379679144385002E-2</v>
      </c>
      <c r="AB22" s="748">
        <f t="shared" si="6"/>
        <v>-0.1551605504587156</v>
      </c>
      <c r="AC22" s="748">
        <f t="shared" si="6"/>
        <v>4.8187864802497586E-2</v>
      </c>
      <c r="AD22" s="748">
        <f t="shared" si="6"/>
        <v>9.4794094794094896E-2</v>
      </c>
      <c r="AE22" s="748">
        <f t="shared" si="6"/>
        <v>-0.10716820440028391</v>
      </c>
      <c r="AF22" s="748">
        <f t="shared" si="6"/>
        <v>7.2204557498675173E-2</v>
      </c>
      <c r="AG22" s="748">
        <f>(AG21-AE21)/AE21</f>
        <v>8.9295177530471573E-2</v>
      </c>
      <c r="AH22" s="744"/>
      <c r="AI22" s="744"/>
      <c r="AJ22" s="744"/>
      <c r="AK22" s="744"/>
      <c r="AL22" s="744"/>
      <c r="AM22" s="744"/>
    </row>
    <row r="23" spans="1:39" x14ac:dyDescent="0.25">
      <c r="C23" s="4"/>
      <c r="D23" s="3"/>
      <c r="E23" s="3"/>
      <c r="F23" s="3"/>
      <c r="H23" s="70"/>
      <c r="X23" s="745" t="s">
        <v>837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4"/>
      <c r="AI23" s="744"/>
      <c r="AJ23" s="744"/>
      <c r="AK23" s="744"/>
      <c r="AL23" s="74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5" t="s">
        <v>838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4"/>
      <c r="AJ24" s="744"/>
      <c r="AK24" s="744"/>
      <c r="AL24" s="744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5" t="s">
        <v>823</v>
      </c>
      <c r="Y25" s="748">
        <f t="shared" ref="Y25:AD25" si="11">Y23/Y21</f>
        <v>0.81740888589351457</v>
      </c>
      <c r="Z25" s="748">
        <f t="shared" si="11"/>
        <v>0.81566844919786097</v>
      </c>
      <c r="AA25" s="748">
        <f t="shared" si="11"/>
        <v>0.82276376146788999</v>
      </c>
      <c r="AB25" s="748">
        <f t="shared" si="11"/>
        <v>0.81457852585855839</v>
      </c>
      <c r="AC25" s="748">
        <f t="shared" si="11"/>
        <v>0.81623931623931623</v>
      </c>
      <c r="AD25" s="748">
        <f t="shared" si="11"/>
        <v>0.81872486396971844</v>
      </c>
      <c r="AE25" s="748">
        <f t="shared" ref="AE25" si="12">AE23/AE21</f>
        <v>0.81518282988871227</v>
      </c>
      <c r="AF25" s="748">
        <f t="shared" ref="AF25" si="13">AF23/AF21</f>
        <v>0.80767329791177567</v>
      </c>
      <c r="AG25" s="74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0" t="s">
        <v>504</v>
      </c>
      <c r="K29" s="650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7" t="s">
        <v>78</v>
      </c>
      <c r="P42" s="847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82.742000000000004</v>
      </c>
      <c r="Q43" s="2"/>
      <c r="T43" s="125" t="s">
        <v>97</v>
      </c>
      <c r="U43" s="96">
        <v>66.98</v>
      </c>
      <c r="V43" s="749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81.989800000000002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81.2376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80.485399999999998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79.733199999999997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78.981000000000009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78.228800000000007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77.476600000000005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76.724400000000003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75.972200000000001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75.22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74.467799999999997</v>
      </c>
      <c r="Q54" s="2"/>
      <c r="T54" s="91" t="s">
        <v>109</v>
      </c>
      <c r="U54" s="88">
        <v>10291100</v>
      </c>
      <c r="V54" s="88"/>
    </row>
    <row r="55" spans="1:22" x14ac:dyDescent="0.25">
      <c r="A55" s="371" t="s">
        <v>1</v>
      </c>
      <c r="B55" s="371" t="s">
        <v>2</v>
      </c>
      <c r="C55" s="371" t="s">
        <v>4</v>
      </c>
      <c r="D55" s="373" t="s">
        <v>5</v>
      </c>
      <c r="E55" s="373" t="s">
        <v>94</v>
      </c>
      <c r="F55" s="373" t="s">
        <v>60</v>
      </c>
      <c r="G55" s="371" t="s">
        <v>3</v>
      </c>
      <c r="H55" s="371" t="s">
        <v>6</v>
      </c>
      <c r="I55" s="371" t="s">
        <v>7</v>
      </c>
      <c r="J55" s="371" t="s">
        <v>95</v>
      </c>
      <c r="K55" s="371" t="s">
        <v>61</v>
      </c>
      <c r="L55" s="371" t="s">
        <v>37</v>
      </c>
      <c r="M55" s="371" t="s">
        <v>38</v>
      </c>
      <c r="O55" s="81">
        <v>0.98</v>
      </c>
      <c r="P55" s="81">
        <f t="shared" si="23"/>
        <v>73.715599999999995</v>
      </c>
      <c r="Q55" s="2"/>
      <c r="T55" s="91" t="s">
        <v>107</v>
      </c>
      <c r="U55" s="86" t="s">
        <v>662</v>
      </c>
      <c r="V55" s="86"/>
    </row>
    <row r="56" spans="1:22" x14ac:dyDescent="0.25">
      <c r="A56" s="374" t="s">
        <v>55</v>
      </c>
      <c r="B56" s="364">
        <v>42214</v>
      </c>
      <c r="C56" s="365">
        <v>10</v>
      </c>
      <c r="D56" s="366">
        <v>113.01</v>
      </c>
      <c r="E56" s="366">
        <v>0</v>
      </c>
      <c r="F56" s="366">
        <f t="shared" ref="F56:F81" si="24">C56*D56 + E56</f>
        <v>1130.1000000000001</v>
      </c>
      <c r="G56" s="364">
        <v>42263</v>
      </c>
      <c r="H56" s="369">
        <v>10</v>
      </c>
      <c r="I56" s="366">
        <v>109.35</v>
      </c>
      <c r="J56" s="366">
        <v>0.02</v>
      </c>
      <c r="K56" s="366">
        <f>I56*H56-J56</f>
        <v>1093.48</v>
      </c>
      <c r="L56" s="364">
        <v>42276</v>
      </c>
      <c r="M56" s="366">
        <v>6.45</v>
      </c>
      <c r="O56" s="81">
        <v>0.97</v>
      </c>
      <c r="P56" s="81">
        <f t="shared" si="23"/>
        <v>72.963399999999993</v>
      </c>
      <c r="T56" s="91" t="s">
        <v>110</v>
      </c>
      <c r="U56" s="86">
        <v>6.69</v>
      </c>
      <c r="V56" s="86"/>
    </row>
    <row r="57" spans="1:22" x14ac:dyDescent="0.25">
      <c r="A57" s="375" t="s">
        <v>71</v>
      </c>
      <c r="B57" s="364">
        <v>42247</v>
      </c>
      <c r="C57" s="365">
        <v>15</v>
      </c>
      <c r="D57" s="366">
        <v>105.85</v>
      </c>
      <c r="E57" s="366">
        <v>0</v>
      </c>
      <c r="F57" s="366">
        <f t="shared" si="24"/>
        <v>1587.75</v>
      </c>
      <c r="G57" s="364">
        <v>42284</v>
      </c>
      <c r="H57" s="369">
        <v>10</v>
      </c>
      <c r="I57" s="366">
        <v>97.5</v>
      </c>
      <c r="J57" s="366">
        <v>0.02</v>
      </c>
      <c r="K57" s="366">
        <f>I57*H57-J57</f>
        <v>974.98</v>
      </c>
      <c r="L57" s="364">
        <v>42369</v>
      </c>
      <c r="M57" s="366">
        <v>10.75</v>
      </c>
      <c r="O57" s="81">
        <v>0.96</v>
      </c>
      <c r="P57" s="81">
        <f t="shared" si="23"/>
        <v>72.211199999999991</v>
      </c>
      <c r="T57" s="91" t="s">
        <v>111</v>
      </c>
      <c r="U57" s="86">
        <v>9.94</v>
      </c>
      <c r="V57" s="86"/>
    </row>
    <row r="58" spans="1:22" x14ac:dyDescent="0.25">
      <c r="A58" s="365"/>
      <c r="B58" s="364">
        <v>42278</v>
      </c>
      <c r="C58" s="365">
        <v>10</v>
      </c>
      <c r="D58" s="366">
        <v>96.7</v>
      </c>
      <c r="E58" s="366">
        <v>0</v>
      </c>
      <c r="F58" s="366">
        <f t="shared" si="24"/>
        <v>967</v>
      </c>
      <c r="G58" s="364">
        <v>42409</v>
      </c>
      <c r="H58" s="369">
        <v>10</v>
      </c>
      <c r="I58" s="366">
        <v>88.05</v>
      </c>
      <c r="J58" s="366">
        <v>0.02</v>
      </c>
      <c r="K58" s="366">
        <f>I58*H58-J58</f>
        <v>880.48</v>
      </c>
      <c r="L58" s="364">
        <v>42460</v>
      </c>
      <c r="M58" s="366">
        <v>30.1</v>
      </c>
      <c r="O58" s="81">
        <v>0.95</v>
      </c>
      <c r="P58" s="81">
        <f t="shared" si="23"/>
        <v>71.458999999999989</v>
      </c>
      <c r="T58" s="91" t="s">
        <v>108</v>
      </c>
      <c r="U58" s="86" t="s">
        <v>560</v>
      </c>
      <c r="V58" s="86"/>
    </row>
    <row r="59" spans="1:22" x14ac:dyDescent="0.25">
      <c r="A59" s="365"/>
      <c r="B59" s="364">
        <v>42284</v>
      </c>
      <c r="C59" s="365">
        <v>10</v>
      </c>
      <c r="D59" s="366">
        <v>94.5</v>
      </c>
      <c r="E59" s="366">
        <v>0</v>
      </c>
      <c r="F59" s="366">
        <f t="shared" si="24"/>
        <v>945</v>
      </c>
      <c r="G59" s="364">
        <v>42447</v>
      </c>
      <c r="H59" s="369">
        <v>20</v>
      </c>
      <c r="I59" s="366">
        <v>90.59</v>
      </c>
      <c r="J59" s="366">
        <v>0.04</v>
      </c>
      <c r="K59" s="366">
        <f>I59*H59-J59</f>
        <v>1811.7600000000002</v>
      </c>
      <c r="L59" s="364">
        <v>42550</v>
      </c>
      <c r="M59" s="366">
        <v>47</v>
      </c>
      <c r="O59" s="81">
        <v>0.94</v>
      </c>
      <c r="P59" s="81">
        <f t="shared" si="23"/>
        <v>70.706800000000001</v>
      </c>
    </row>
    <row r="60" spans="1:22" x14ac:dyDescent="0.25">
      <c r="A60" s="365"/>
      <c r="B60" s="701">
        <v>42376</v>
      </c>
      <c r="C60" s="365">
        <v>25</v>
      </c>
      <c r="D60" s="366">
        <v>96.5</v>
      </c>
      <c r="E60" s="366">
        <v>0</v>
      </c>
      <c r="F60" s="366">
        <f t="shared" si="24"/>
        <v>2412.5</v>
      </c>
      <c r="G60" s="364">
        <v>42478</v>
      </c>
      <c r="H60" s="369">
        <v>25</v>
      </c>
      <c r="I60" s="366">
        <v>99.45</v>
      </c>
      <c r="J60" s="366">
        <v>0.05</v>
      </c>
      <c r="K60" s="366">
        <f>I60*H60-J60</f>
        <v>2486.1999999999998</v>
      </c>
      <c r="L60" s="364">
        <v>42642</v>
      </c>
      <c r="M60" s="366">
        <v>94</v>
      </c>
      <c r="O60" s="81">
        <v>0.93</v>
      </c>
      <c r="P60" s="81">
        <f t="shared" si="23"/>
        <v>69.954599999999999</v>
      </c>
    </row>
    <row r="61" spans="1:22" x14ac:dyDescent="0.25">
      <c r="A61" s="365"/>
      <c r="B61" s="364">
        <v>42402</v>
      </c>
      <c r="C61" s="365">
        <v>10</v>
      </c>
      <c r="D61" s="366">
        <v>82.55</v>
      </c>
      <c r="E61" s="366">
        <v>0</v>
      </c>
      <c r="F61" s="366">
        <f t="shared" si="24"/>
        <v>825.5</v>
      </c>
      <c r="G61" s="365"/>
      <c r="H61" s="365"/>
      <c r="I61" s="365"/>
      <c r="J61" s="365"/>
      <c r="K61" s="365"/>
      <c r="L61" s="364">
        <v>42734</v>
      </c>
      <c r="M61" s="366">
        <v>117.5</v>
      </c>
      <c r="O61" s="81">
        <v>0.92</v>
      </c>
      <c r="P61" s="81">
        <f t="shared" si="23"/>
        <v>69.202399999999997</v>
      </c>
    </row>
    <row r="62" spans="1:22" x14ac:dyDescent="0.25">
      <c r="A62" s="365"/>
      <c r="B62" s="364">
        <v>42426</v>
      </c>
      <c r="C62" s="365">
        <v>20</v>
      </c>
      <c r="D62" s="366">
        <v>88.03</v>
      </c>
      <c r="E62" s="366">
        <v>0</v>
      </c>
      <c r="F62" s="366">
        <f t="shared" si="24"/>
        <v>1760.6</v>
      </c>
      <c r="G62" s="365"/>
      <c r="H62" s="369"/>
      <c r="I62" s="365"/>
      <c r="J62" s="365"/>
      <c r="K62" s="365"/>
      <c r="L62" s="364">
        <v>42824</v>
      </c>
      <c r="M62" s="366">
        <v>130</v>
      </c>
      <c r="O62" s="81">
        <v>0.91</v>
      </c>
      <c r="P62" s="81">
        <f t="shared" si="23"/>
        <v>68.450199999999995</v>
      </c>
    </row>
    <row r="63" spans="1:22" x14ac:dyDescent="0.25">
      <c r="A63" s="387"/>
      <c r="B63" s="364">
        <v>42488</v>
      </c>
      <c r="C63" s="365">
        <v>25</v>
      </c>
      <c r="D63" s="366">
        <v>98.25</v>
      </c>
      <c r="E63" s="366">
        <v>0</v>
      </c>
      <c r="F63" s="366">
        <f t="shared" si="24"/>
        <v>2456.25</v>
      </c>
      <c r="G63" s="365"/>
      <c r="H63" s="365"/>
      <c r="I63" s="365"/>
      <c r="J63" s="365"/>
      <c r="K63" s="365"/>
      <c r="L63" s="364">
        <v>42916</v>
      </c>
      <c r="M63" s="366">
        <v>130</v>
      </c>
      <c r="O63" s="81">
        <v>0.9</v>
      </c>
      <c r="P63" s="81">
        <f t="shared" si="23"/>
        <v>67.698000000000008</v>
      </c>
    </row>
    <row r="64" spans="1:22" x14ac:dyDescent="0.25">
      <c r="A64" s="387" t="s">
        <v>212</v>
      </c>
      <c r="B64" s="364">
        <v>42489</v>
      </c>
      <c r="C64" s="365">
        <v>20</v>
      </c>
      <c r="D64" s="366">
        <v>90.34</v>
      </c>
      <c r="E64" s="366">
        <v>0</v>
      </c>
      <c r="F64" s="366">
        <f t="shared" si="24"/>
        <v>1806.8000000000002</v>
      </c>
      <c r="G64" s="365"/>
      <c r="H64" s="365"/>
      <c r="I64" s="365"/>
      <c r="J64" s="365"/>
      <c r="K64" s="365"/>
      <c r="L64" s="365"/>
      <c r="M64" s="365"/>
    </row>
    <row r="65" spans="1:13" x14ac:dyDescent="0.25">
      <c r="A65" s="387">
        <v>92.64</v>
      </c>
      <c r="B65" s="364">
        <v>42489</v>
      </c>
      <c r="C65" s="365">
        <v>30</v>
      </c>
      <c r="D65" s="366">
        <v>89.5</v>
      </c>
      <c r="E65" s="366">
        <v>0</v>
      </c>
      <c r="F65" s="366">
        <f t="shared" si="24"/>
        <v>2685</v>
      </c>
      <c r="G65" s="364">
        <v>42552</v>
      </c>
      <c r="H65" s="369">
        <v>100</v>
      </c>
      <c r="I65" s="366">
        <v>83.74</v>
      </c>
      <c r="J65" s="366">
        <v>0.18</v>
      </c>
      <c r="K65" s="366">
        <f t="shared" ref="K65:K80" si="25">I65*H65-J65</f>
        <v>8373.82</v>
      </c>
      <c r="L65" s="365"/>
      <c r="M65" s="365"/>
    </row>
    <row r="66" spans="1:13" x14ac:dyDescent="0.25">
      <c r="A66" s="365"/>
      <c r="B66" s="364">
        <v>42545</v>
      </c>
      <c r="C66" s="365">
        <v>100</v>
      </c>
      <c r="D66" s="366">
        <v>80.47</v>
      </c>
      <c r="E66" s="366">
        <v>0</v>
      </c>
      <c r="F66" s="366">
        <f t="shared" si="24"/>
        <v>8047</v>
      </c>
      <c r="G66" s="364">
        <v>42646</v>
      </c>
      <c r="H66" s="369">
        <v>50</v>
      </c>
      <c r="I66" s="366">
        <v>77.7</v>
      </c>
      <c r="J66" s="366">
        <v>0.08</v>
      </c>
      <c r="K66" s="366">
        <f t="shared" si="25"/>
        <v>3884.92</v>
      </c>
      <c r="L66" s="365"/>
      <c r="M66" s="365"/>
    </row>
    <row r="67" spans="1:13" x14ac:dyDescent="0.25">
      <c r="A67" s="365"/>
      <c r="B67" s="364">
        <v>42577</v>
      </c>
      <c r="C67" s="365">
        <v>20</v>
      </c>
      <c r="D67" s="366">
        <v>80.64</v>
      </c>
      <c r="E67" s="366">
        <v>0</v>
      </c>
      <c r="F67" s="366">
        <f t="shared" si="24"/>
        <v>1612.8</v>
      </c>
      <c r="G67" s="364">
        <v>42683</v>
      </c>
      <c r="H67" s="369">
        <v>50</v>
      </c>
      <c r="I67" s="366">
        <v>78.98</v>
      </c>
      <c r="J67" s="366">
        <v>0.09</v>
      </c>
      <c r="K67" s="366">
        <f t="shared" si="25"/>
        <v>3948.91</v>
      </c>
      <c r="L67" s="365"/>
      <c r="M67" s="365"/>
    </row>
    <row r="68" spans="1:13" x14ac:dyDescent="0.25">
      <c r="A68" s="365"/>
      <c r="B68" s="364">
        <v>42580</v>
      </c>
      <c r="C68" s="365">
        <v>30</v>
      </c>
      <c r="D68" s="366">
        <v>79.38</v>
      </c>
      <c r="E68" s="366">
        <v>0</v>
      </c>
      <c r="F68" s="366">
        <f t="shared" si="24"/>
        <v>2381.3999999999996</v>
      </c>
      <c r="G68" s="364">
        <v>42685</v>
      </c>
      <c r="H68" s="369">
        <v>50</v>
      </c>
      <c r="I68" s="365">
        <v>76.45</v>
      </c>
      <c r="J68" s="365">
        <v>0.08</v>
      </c>
      <c r="K68" s="366">
        <f t="shared" si="25"/>
        <v>3822.42</v>
      </c>
      <c r="L68" s="365"/>
      <c r="M68" s="365"/>
    </row>
    <row r="69" spans="1:13" x14ac:dyDescent="0.25">
      <c r="A69" s="365"/>
      <c r="B69" s="364">
        <v>42608</v>
      </c>
      <c r="C69" s="365">
        <v>20</v>
      </c>
      <c r="D69" s="366">
        <v>79.28</v>
      </c>
      <c r="E69" s="366">
        <v>0</v>
      </c>
      <c r="F69" s="366">
        <f t="shared" si="24"/>
        <v>1585.6</v>
      </c>
      <c r="G69" s="364">
        <v>42697</v>
      </c>
      <c r="H69" s="369">
        <v>50</v>
      </c>
      <c r="I69" s="366">
        <v>75.3</v>
      </c>
      <c r="J69" s="366">
        <v>0.08</v>
      </c>
      <c r="K69" s="366">
        <f t="shared" si="25"/>
        <v>3764.92</v>
      </c>
      <c r="L69" s="365"/>
      <c r="M69" s="365"/>
    </row>
    <row r="70" spans="1:13" x14ac:dyDescent="0.25">
      <c r="A70" s="365"/>
      <c r="B70" s="364">
        <v>42611</v>
      </c>
      <c r="C70" s="365">
        <v>30</v>
      </c>
      <c r="D70" s="366">
        <v>77.680000000000007</v>
      </c>
      <c r="E70" s="366">
        <v>0</v>
      </c>
      <c r="F70" s="366">
        <f t="shared" si="24"/>
        <v>2330.4</v>
      </c>
      <c r="G70" s="364">
        <v>42717</v>
      </c>
      <c r="H70" s="369">
        <v>50</v>
      </c>
      <c r="I70" s="366">
        <v>74.78</v>
      </c>
      <c r="J70" s="366">
        <v>0.08</v>
      </c>
      <c r="K70" s="366">
        <f t="shared" si="25"/>
        <v>3738.92</v>
      </c>
      <c r="L70" s="365"/>
      <c r="M70" s="365"/>
    </row>
    <row r="71" spans="1:13" x14ac:dyDescent="0.25">
      <c r="A71" s="365"/>
      <c r="B71" s="364">
        <v>42646</v>
      </c>
      <c r="C71" s="365">
        <v>50</v>
      </c>
      <c r="D71" s="366">
        <v>77.28</v>
      </c>
      <c r="E71" s="366">
        <v>0</v>
      </c>
      <c r="F71" s="366">
        <f t="shared" si="24"/>
        <v>3864</v>
      </c>
      <c r="G71" s="364">
        <v>42717</v>
      </c>
      <c r="H71" s="369">
        <v>50</v>
      </c>
      <c r="I71" s="366">
        <v>75.73</v>
      </c>
      <c r="J71" s="366">
        <v>0.08</v>
      </c>
      <c r="K71" s="366">
        <f t="shared" si="25"/>
        <v>3786.42</v>
      </c>
      <c r="L71" s="365"/>
      <c r="M71" s="365"/>
    </row>
    <row r="72" spans="1:13" x14ac:dyDescent="0.25">
      <c r="A72" s="365"/>
      <c r="B72" s="364">
        <v>42649</v>
      </c>
      <c r="C72" s="365">
        <v>50</v>
      </c>
      <c r="D72" s="366">
        <v>76.38</v>
      </c>
      <c r="E72" s="366">
        <v>0</v>
      </c>
      <c r="F72" s="366">
        <f t="shared" si="24"/>
        <v>3819</v>
      </c>
      <c r="G72" s="364">
        <v>42738</v>
      </c>
      <c r="H72" s="369">
        <v>50</v>
      </c>
      <c r="I72" s="366">
        <v>73.58</v>
      </c>
      <c r="J72" s="366">
        <v>0.08</v>
      </c>
      <c r="K72" s="366">
        <f t="shared" si="25"/>
        <v>3678.92</v>
      </c>
      <c r="L72" s="365"/>
      <c r="M72" s="365"/>
    </row>
    <row r="73" spans="1:13" x14ac:dyDescent="0.25">
      <c r="A73" s="365"/>
      <c r="B73" s="364">
        <v>42685</v>
      </c>
      <c r="C73" s="365">
        <v>50</v>
      </c>
      <c r="D73" s="366">
        <v>75.78</v>
      </c>
      <c r="E73" s="366">
        <v>0</v>
      </c>
      <c r="F73" s="366">
        <f t="shared" si="24"/>
        <v>3789</v>
      </c>
      <c r="G73" s="364">
        <v>42760</v>
      </c>
      <c r="H73" s="369">
        <v>50</v>
      </c>
      <c r="I73" s="366">
        <v>71.78</v>
      </c>
      <c r="J73" s="366">
        <v>0.08</v>
      </c>
      <c r="K73" s="366">
        <f t="shared" si="25"/>
        <v>3588.92</v>
      </c>
      <c r="L73" s="365"/>
      <c r="M73" s="365"/>
    </row>
    <row r="74" spans="1:13" x14ac:dyDescent="0.25">
      <c r="A74" s="365"/>
      <c r="B74" s="364">
        <v>42692</v>
      </c>
      <c r="C74" s="365">
        <v>50</v>
      </c>
      <c r="D74" s="366">
        <v>74.45</v>
      </c>
      <c r="E74" s="366">
        <v>0</v>
      </c>
      <c r="F74" s="366">
        <f t="shared" si="24"/>
        <v>3722.5</v>
      </c>
      <c r="G74" s="364">
        <v>42781</v>
      </c>
      <c r="H74" s="369">
        <v>50</v>
      </c>
      <c r="I74" s="366">
        <v>68.98</v>
      </c>
      <c r="J74" s="366">
        <v>0.08</v>
      </c>
      <c r="K74" s="366">
        <f t="shared" si="25"/>
        <v>3448.92</v>
      </c>
      <c r="L74" s="365"/>
      <c r="M74" s="365"/>
    </row>
    <row r="75" spans="1:13" x14ac:dyDescent="0.25">
      <c r="A75" s="365"/>
      <c r="B75" s="364">
        <v>42705</v>
      </c>
      <c r="C75" s="365">
        <v>50</v>
      </c>
      <c r="D75" s="366">
        <v>73.319999999999993</v>
      </c>
      <c r="E75" s="366">
        <v>0</v>
      </c>
      <c r="F75" s="366">
        <f t="shared" si="24"/>
        <v>3665.9999999999995</v>
      </c>
      <c r="G75" s="364">
        <v>42781</v>
      </c>
      <c r="H75" s="369">
        <v>50</v>
      </c>
      <c r="I75" s="366">
        <v>69.75</v>
      </c>
      <c r="J75" s="366">
        <v>0.08</v>
      </c>
      <c r="K75" s="366">
        <f t="shared" si="25"/>
        <v>3487.42</v>
      </c>
      <c r="L75" s="365"/>
      <c r="M75" s="365"/>
    </row>
    <row r="76" spans="1:13" x14ac:dyDescent="0.25">
      <c r="A76" s="365"/>
      <c r="B76" s="364">
        <v>42717</v>
      </c>
      <c r="C76" s="365">
        <v>50</v>
      </c>
      <c r="D76" s="366">
        <v>75.180000000000007</v>
      </c>
      <c r="E76" s="366">
        <v>0</v>
      </c>
      <c r="F76" s="366">
        <f t="shared" si="24"/>
        <v>3759.0000000000005</v>
      </c>
      <c r="G76" s="364">
        <v>42940</v>
      </c>
      <c r="H76" s="369">
        <v>50</v>
      </c>
      <c r="I76" s="366">
        <v>74.08</v>
      </c>
      <c r="J76" s="366">
        <v>0.09</v>
      </c>
      <c r="K76" s="366">
        <f t="shared" si="25"/>
        <v>3703.91</v>
      </c>
      <c r="L76" s="365"/>
      <c r="M76" s="365"/>
    </row>
    <row r="77" spans="1:13" x14ac:dyDescent="0.25">
      <c r="A77" s="365"/>
      <c r="B77" s="364">
        <v>42733</v>
      </c>
      <c r="C77" s="365">
        <v>50</v>
      </c>
      <c r="D77" s="366">
        <v>72.08</v>
      </c>
      <c r="E77" s="366">
        <v>0</v>
      </c>
      <c r="F77" s="366">
        <f t="shared" si="24"/>
        <v>3604</v>
      </c>
      <c r="G77" s="364">
        <v>42977</v>
      </c>
      <c r="H77" s="369">
        <v>50</v>
      </c>
      <c r="I77" s="366">
        <v>80.08</v>
      </c>
      <c r="J77" s="366">
        <v>0.09</v>
      </c>
      <c r="K77" s="366">
        <f t="shared" si="25"/>
        <v>4003.91</v>
      </c>
      <c r="L77" s="365"/>
      <c r="M77" s="365"/>
    </row>
    <row r="78" spans="1:13" x14ac:dyDescent="0.25">
      <c r="A78" s="365"/>
      <c r="B78" s="364">
        <v>42752</v>
      </c>
      <c r="C78" s="365">
        <v>50</v>
      </c>
      <c r="D78" s="366">
        <v>71.88</v>
      </c>
      <c r="E78" s="366">
        <v>0</v>
      </c>
      <c r="F78" s="366">
        <f t="shared" si="24"/>
        <v>3594</v>
      </c>
      <c r="G78" s="364">
        <v>42977</v>
      </c>
      <c r="H78" s="369">
        <v>50</v>
      </c>
      <c r="I78" s="366">
        <v>81.08</v>
      </c>
      <c r="J78" s="366">
        <v>0.09</v>
      </c>
      <c r="K78" s="366">
        <f t="shared" si="25"/>
        <v>4053.91</v>
      </c>
      <c r="L78" s="365"/>
      <c r="M78" s="365"/>
    </row>
    <row r="79" spans="1:13" x14ac:dyDescent="0.25">
      <c r="A79" s="365"/>
      <c r="B79" s="364">
        <v>42755</v>
      </c>
      <c r="C79" s="365">
        <v>50</v>
      </c>
      <c r="D79" s="366">
        <v>70.78</v>
      </c>
      <c r="E79" s="366">
        <v>0</v>
      </c>
      <c r="F79" s="366">
        <f t="shared" si="24"/>
        <v>3539</v>
      </c>
      <c r="G79" s="364">
        <v>42978</v>
      </c>
      <c r="H79" s="369">
        <v>50</v>
      </c>
      <c r="I79" s="366">
        <v>83.18</v>
      </c>
      <c r="J79" s="366">
        <v>0.1</v>
      </c>
      <c r="K79" s="366">
        <f t="shared" si="25"/>
        <v>4158.8999999999996</v>
      </c>
      <c r="L79" s="365"/>
      <c r="M79" s="365"/>
    </row>
    <row r="80" spans="1:13" x14ac:dyDescent="0.25">
      <c r="A80" s="365"/>
      <c r="B80" s="364">
        <v>42773</v>
      </c>
      <c r="C80" s="365">
        <v>50</v>
      </c>
      <c r="D80" s="366">
        <v>69.48</v>
      </c>
      <c r="E80" s="366">
        <v>0</v>
      </c>
      <c r="F80" s="366">
        <f t="shared" si="24"/>
        <v>3474</v>
      </c>
      <c r="G80" s="364">
        <v>42984</v>
      </c>
      <c r="H80" s="369">
        <v>50</v>
      </c>
      <c r="I80" s="366">
        <v>82.98</v>
      </c>
      <c r="J80" s="366">
        <v>-0.03</v>
      </c>
      <c r="K80" s="366">
        <f t="shared" si="25"/>
        <v>4149.03</v>
      </c>
      <c r="L80" s="365"/>
      <c r="M80" s="365"/>
    </row>
    <row r="81" spans="1:13" x14ac:dyDescent="0.25">
      <c r="A81" s="365"/>
      <c r="B81" s="364">
        <v>42774</v>
      </c>
      <c r="C81" s="365">
        <v>50</v>
      </c>
      <c r="D81" s="366">
        <v>67.680000000000007</v>
      </c>
      <c r="E81" s="366">
        <v>0</v>
      </c>
      <c r="F81" s="366">
        <f t="shared" si="24"/>
        <v>3384.0000000000005</v>
      </c>
      <c r="G81" s="365"/>
      <c r="H81" s="365"/>
      <c r="I81" s="365"/>
      <c r="J81" s="365"/>
      <c r="K81" s="365"/>
      <c r="L81" s="365"/>
      <c r="M81" s="365"/>
    </row>
    <row r="82" spans="1:13" x14ac:dyDescent="0.25">
      <c r="A82" s="365"/>
      <c r="B82" s="364"/>
      <c r="C82" s="365"/>
      <c r="D82" s="366"/>
      <c r="E82" s="366"/>
      <c r="F82" s="366"/>
      <c r="G82" s="365"/>
      <c r="H82" s="365"/>
      <c r="I82" s="365"/>
      <c r="J82" s="365"/>
      <c r="K82" s="365"/>
      <c r="L82" s="365"/>
      <c r="M82" s="365"/>
    </row>
    <row r="83" spans="1:13" x14ac:dyDescent="0.25">
      <c r="A83" s="365"/>
      <c r="B83" s="437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7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1">
        <v>26</v>
      </c>
    </row>
    <row r="84" spans="1:13" x14ac:dyDescent="0.25">
      <c r="A84" s="365"/>
      <c r="B84" s="437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7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0">
        <v>52</v>
      </c>
    </row>
    <row r="85" spans="1:13" x14ac:dyDescent="0.25">
      <c r="A85" s="365"/>
      <c r="B85" s="437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7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5"/>
      <c r="B86" s="437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7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5"/>
      <c r="B87" s="437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7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5"/>
      <c r="B88" s="781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7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5"/>
      <c r="B89" s="364"/>
      <c r="C89" s="365"/>
      <c r="D89" s="366"/>
      <c r="E89" s="366"/>
      <c r="F89" s="366"/>
      <c r="G89" s="365"/>
      <c r="H89" s="365"/>
      <c r="I89" s="365"/>
      <c r="J89" s="365"/>
      <c r="K89" s="365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5"/>
      <c r="H90" s="365"/>
      <c r="I90" s="365"/>
      <c r="J90" s="365"/>
      <c r="K90" s="365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5"/>
      <c r="H91" s="365"/>
      <c r="I91" s="365"/>
      <c r="J91" s="365"/>
      <c r="K91" s="365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5"/>
      <c r="H92" s="365"/>
      <c r="I92" s="365"/>
      <c r="J92" s="365"/>
      <c r="K92" s="365"/>
      <c r="L92" s="365"/>
      <c r="M92" s="365"/>
    </row>
    <row r="93" spans="1:13" x14ac:dyDescent="0.25">
      <c r="A93" s="365"/>
      <c r="B93" s="365"/>
      <c r="C93" s="365"/>
      <c r="D93" s="366"/>
      <c r="E93" s="366"/>
      <c r="F93" s="366"/>
      <c r="G93" s="365"/>
      <c r="H93" s="365"/>
      <c r="I93" s="365"/>
      <c r="J93" s="365"/>
      <c r="K93" s="365"/>
      <c r="L93" s="365"/>
      <c r="M93" s="365"/>
    </row>
    <row r="94" spans="1:13" x14ac:dyDescent="0.25">
      <c r="A94" s="365"/>
      <c r="B94" s="365"/>
      <c r="C94" s="365"/>
      <c r="D94" s="366"/>
      <c r="E94" s="366"/>
      <c r="F94" s="366"/>
      <c r="G94" s="365"/>
      <c r="H94" s="369"/>
      <c r="I94" s="365"/>
      <c r="J94" s="365"/>
      <c r="K94" s="365"/>
      <c r="L94" s="365"/>
      <c r="M94" s="365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7" t="s">
        <v>194</v>
      </c>
      <c r="B96" s="448"/>
      <c r="C96" s="449">
        <f>SumByColor($A$25,C56:C94)</f>
        <v>300</v>
      </c>
      <c r="D96" s="449"/>
      <c r="E96" s="449"/>
      <c r="F96" s="450">
        <f>SumByColor($A$25,F56:F94)</f>
        <v>23205</v>
      </c>
      <c r="G96" s="449"/>
      <c r="H96" s="449">
        <f>SumByColor($A$25,H56:H94)</f>
        <v>300</v>
      </c>
      <c r="I96" s="449"/>
      <c r="J96" s="449"/>
      <c r="K96" s="450">
        <f>SumByColor($A$25,K56:K94)</f>
        <v>23278</v>
      </c>
      <c r="L96" s="449"/>
      <c r="M96" s="450">
        <f>SumByColor($A$25,M56:M94)</f>
        <v>78</v>
      </c>
    </row>
    <row r="103" spans="1:12" x14ac:dyDescent="0.25">
      <c r="A103" s="702"/>
      <c r="B103" s="702"/>
      <c r="C103" s="702"/>
      <c r="D103" s="703"/>
      <c r="E103" s="703"/>
      <c r="F103" s="703"/>
      <c r="G103" s="702"/>
      <c r="H103" s="702"/>
      <c r="I103" s="702"/>
      <c r="J103" s="702"/>
      <c r="K103" s="702"/>
      <c r="L103" s="702"/>
    </row>
    <row r="104" spans="1:12" x14ac:dyDescent="0.25">
      <c r="A104" s="702"/>
      <c r="B104" s="487" t="s">
        <v>113</v>
      </c>
      <c r="C104" s="487" t="s">
        <v>146</v>
      </c>
      <c r="D104" s="488" t="s">
        <v>145</v>
      </c>
      <c r="E104" s="489" t="s">
        <v>147</v>
      </c>
      <c r="F104" s="490" t="s">
        <v>65</v>
      </c>
      <c r="G104" s="491" t="s">
        <v>151</v>
      </c>
      <c r="H104" s="490" t="s">
        <v>88</v>
      </c>
      <c r="I104" s="490" t="s">
        <v>154</v>
      </c>
      <c r="J104" s="704" t="s">
        <v>504</v>
      </c>
      <c r="K104" s="704" t="s">
        <v>150</v>
      </c>
      <c r="L104" s="702"/>
    </row>
    <row r="105" spans="1:12" x14ac:dyDescent="0.25">
      <c r="A105" s="365"/>
      <c r="B105" s="364">
        <v>42304</v>
      </c>
      <c r="C105" s="365">
        <v>25</v>
      </c>
      <c r="D105" s="366">
        <v>102.2</v>
      </c>
      <c r="E105" s="366">
        <v>110.96</v>
      </c>
      <c r="F105" s="366">
        <f>C105*(E105-D105)</f>
        <v>218.99999999999977</v>
      </c>
      <c r="G105" s="366">
        <f>D105*C105</f>
        <v>2555</v>
      </c>
      <c r="H105" s="367">
        <f>(E105-D105)/D105</f>
        <v>8.5714285714285618E-2</v>
      </c>
      <c r="I105" s="705"/>
      <c r="J105" s="365"/>
      <c r="K105" s="365"/>
      <c r="L105" s="365"/>
    </row>
    <row r="106" spans="1:12" x14ac:dyDescent="0.25">
      <c r="A106" s="365"/>
      <c r="B106" s="364">
        <v>42332</v>
      </c>
      <c r="C106" s="365">
        <v>25</v>
      </c>
      <c r="D106" s="366">
        <v>102.2</v>
      </c>
      <c r="E106" s="366">
        <v>106.36</v>
      </c>
      <c r="F106" s="366">
        <f t="shared" ref="F106:F114" si="28">C106*(E106-D106)</f>
        <v>103.99999999999991</v>
      </c>
      <c r="G106" s="366">
        <f t="shared" ref="G106:G169" si="29">D106*C106</f>
        <v>2555</v>
      </c>
      <c r="H106" s="367">
        <f t="shared" ref="H106:H169" si="30">(E106-D106)/D106</f>
        <v>4.070450097847355E-2</v>
      </c>
      <c r="I106" s="705"/>
      <c r="J106" s="365"/>
      <c r="K106" s="365"/>
      <c r="L106" s="365"/>
    </row>
    <row r="107" spans="1:12" x14ac:dyDescent="0.25">
      <c r="A107" s="365"/>
      <c r="B107" s="364">
        <v>42349</v>
      </c>
      <c r="C107" s="365">
        <v>25</v>
      </c>
      <c r="D107" s="366">
        <v>102.2</v>
      </c>
      <c r="E107" s="366">
        <v>100.03</v>
      </c>
      <c r="F107" s="366">
        <f t="shared" si="28"/>
        <v>-54.250000000000043</v>
      </c>
      <c r="G107" s="366">
        <f t="shared" si="29"/>
        <v>2555</v>
      </c>
      <c r="H107" s="367">
        <f t="shared" si="30"/>
        <v>-2.1232876712328784E-2</v>
      </c>
      <c r="I107" s="705"/>
      <c r="J107" s="365"/>
      <c r="K107" s="365"/>
      <c r="L107" s="365"/>
    </row>
    <row r="108" spans="1:12" x14ac:dyDescent="0.25">
      <c r="A108" s="365"/>
      <c r="B108" s="364">
        <v>42361</v>
      </c>
      <c r="C108" s="365">
        <v>25</v>
      </c>
      <c r="D108" s="366">
        <v>102.2</v>
      </c>
      <c r="E108" s="366">
        <v>102.86</v>
      </c>
      <c r="F108" s="366">
        <f t="shared" si="28"/>
        <v>16.499999999999915</v>
      </c>
      <c r="G108" s="366">
        <f t="shared" si="29"/>
        <v>2555</v>
      </c>
      <c r="H108" s="367">
        <f t="shared" si="30"/>
        <v>6.4579256360077939E-3</v>
      </c>
      <c r="I108" s="705"/>
      <c r="J108" s="365"/>
      <c r="K108" s="365"/>
      <c r="L108" s="365"/>
    </row>
    <row r="109" spans="1:12" x14ac:dyDescent="0.25">
      <c r="A109" s="365"/>
      <c r="B109" s="364">
        <v>42376</v>
      </c>
      <c r="C109" s="386">
        <v>50</v>
      </c>
      <c r="D109" s="385">
        <v>99.13</v>
      </c>
      <c r="E109" s="385">
        <v>96.25</v>
      </c>
      <c r="F109" s="366">
        <f t="shared" si="28"/>
        <v>-143.99999999999977</v>
      </c>
      <c r="G109" s="366">
        <f t="shared" si="29"/>
        <v>4956.5</v>
      </c>
      <c r="H109" s="367">
        <f t="shared" si="30"/>
        <v>-2.9052759003328918E-2</v>
      </c>
      <c r="I109" s="705"/>
      <c r="J109" s="365"/>
      <c r="K109" s="365"/>
      <c r="L109" s="365"/>
    </row>
    <row r="110" spans="1:12" x14ac:dyDescent="0.25">
      <c r="A110" s="365"/>
      <c r="B110" s="364">
        <v>42402</v>
      </c>
      <c r="C110" s="386">
        <v>60</v>
      </c>
      <c r="D110" s="385">
        <v>96.37</v>
      </c>
      <c r="E110" s="385">
        <v>82.71</v>
      </c>
      <c r="F110" s="366">
        <f t="shared" si="28"/>
        <v>-819.60000000000059</v>
      </c>
      <c r="G110" s="366">
        <f t="shared" si="29"/>
        <v>5782.2000000000007</v>
      </c>
      <c r="H110" s="367">
        <f t="shared" si="30"/>
        <v>-0.14174535643872585</v>
      </c>
      <c r="I110" s="705"/>
      <c r="J110" s="365"/>
      <c r="K110" s="365"/>
      <c r="L110" s="365"/>
    </row>
    <row r="111" spans="1:12" x14ac:dyDescent="0.25">
      <c r="A111" s="365"/>
      <c r="B111" s="364">
        <v>42409</v>
      </c>
      <c r="C111" s="386">
        <v>50</v>
      </c>
      <c r="D111" s="385">
        <v>98.03</v>
      </c>
      <c r="E111" s="385">
        <v>87.25</v>
      </c>
      <c r="F111" s="366">
        <f t="shared" si="28"/>
        <v>-539</v>
      </c>
      <c r="G111" s="366">
        <f t="shared" si="29"/>
        <v>4901.5</v>
      </c>
      <c r="H111" s="367">
        <f t="shared" si="30"/>
        <v>-0.10996633683566256</v>
      </c>
      <c r="I111" s="705"/>
      <c r="J111" s="365"/>
      <c r="K111" s="365"/>
      <c r="L111" s="365"/>
    </row>
    <row r="112" spans="1:12" x14ac:dyDescent="0.25">
      <c r="A112" s="365"/>
      <c r="B112" s="364">
        <v>42426</v>
      </c>
      <c r="C112" s="386">
        <v>70</v>
      </c>
      <c r="D112" s="385">
        <v>95.18</v>
      </c>
      <c r="E112" s="385">
        <v>88.03</v>
      </c>
      <c r="F112" s="366">
        <f t="shared" si="28"/>
        <v>-500.5000000000004</v>
      </c>
      <c r="G112" s="366">
        <f t="shared" si="29"/>
        <v>6662.6</v>
      </c>
      <c r="H112" s="368">
        <f t="shared" si="30"/>
        <v>-7.5120823702458553E-2</v>
      </c>
      <c r="I112" s="706"/>
      <c r="J112" s="365"/>
      <c r="K112" s="365"/>
      <c r="L112" s="365"/>
    </row>
    <row r="113" spans="1:12" x14ac:dyDescent="0.25">
      <c r="A113" s="365"/>
      <c r="B113" s="364">
        <v>42430</v>
      </c>
      <c r="C113" s="386">
        <v>70</v>
      </c>
      <c r="D113" s="385">
        <v>95.18</v>
      </c>
      <c r="E113" s="385">
        <v>89.69</v>
      </c>
      <c r="F113" s="366">
        <f t="shared" si="28"/>
        <v>-384.30000000000064</v>
      </c>
      <c r="G113" s="366">
        <f t="shared" si="29"/>
        <v>6662.6</v>
      </c>
      <c r="H113" s="368">
        <f t="shared" si="30"/>
        <v>-5.7680184912796896E-2</v>
      </c>
      <c r="I113" s="706"/>
      <c r="J113" s="365"/>
      <c r="K113" s="365"/>
      <c r="L113" s="365"/>
    </row>
    <row r="114" spans="1:12" x14ac:dyDescent="0.25">
      <c r="A114" s="365"/>
      <c r="B114" s="364">
        <v>42431</v>
      </c>
      <c r="C114" s="386">
        <v>70</v>
      </c>
      <c r="D114" s="385">
        <v>95.18</v>
      </c>
      <c r="E114" s="385">
        <v>88.8</v>
      </c>
      <c r="F114" s="366">
        <f t="shared" si="28"/>
        <v>-446.6000000000007</v>
      </c>
      <c r="G114" s="366">
        <f t="shared" si="29"/>
        <v>6662.6</v>
      </c>
      <c r="H114" s="368">
        <f t="shared" si="30"/>
        <v>-6.7030888842193839E-2</v>
      </c>
      <c r="I114" s="706"/>
      <c r="J114" s="365"/>
      <c r="K114" s="365"/>
      <c r="L114" s="365"/>
    </row>
    <row r="115" spans="1:12" x14ac:dyDescent="0.25">
      <c r="A115" s="365"/>
      <c r="B115" s="364">
        <v>42445</v>
      </c>
      <c r="C115" s="386">
        <v>70</v>
      </c>
      <c r="D115" s="385">
        <v>95.176000000000002</v>
      </c>
      <c r="E115" s="385">
        <v>90.28</v>
      </c>
      <c r="F115" s="366">
        <f>C115*(E115-D115)</f>
        <v>-342.72</v>
      </c>
      <c r="G115" s="366">
        <f t="shared" si="29"/>
        <v>6662.32</v>
      </c>
      <c r="H115" s="368">
        <f t="shared" si="30"/>
        <v>-5.1441539884004378E-2</v>
      </c>
      <c r="I115" s="706"/>
      <c r="J115" s="365"/>
      <c r="K115" s="365"/>
      <c r="L115" s="365"/>
    </row>
    <row r="116" spans="1:12" x14ac:dyDescent="0.25">
      <c r="A116" s="365"/>
      <c r="B116" s="364">
        <v>42447</v>
      </c>
      <c r="C116" s="386">
        <v>50</v>
      </c>
      <c r="D116" s="385">
        <v>97.010999999999996</v>
      </c>
      <c r="E116" s="385">
        <v>90.59</v>
      </c>
      <c r="F116" s="366">
        <f>C116*(E116-D116)</f>
        <v>-321.04999999999961</v>
      </c>
      <c r="G116" s="366">
        <f t="shared" si="29"/>
        <v>4850.55</v>
      </c>
      <c r="H116" s="368">
        <f t="shared" si="30"/>
        <v>-6.6188370390986517E-2</v>
      </c>
      <c r="I116" s="706"/>
      <c r="J116" s="365"/>
      <c r="K116" s="365"/>
      <c r="L116" s="365"/>
    </row>
    <row r="117" spans="1:12" x14ac:dyDescent="0.25">
      <c r="A117" s="365"/>
      <c r="B117" s="364">
        <v>42452</v>
      </c>
      <c r="C117" s="386">
        <v>50</v>
      </c>
      <c r="D117" s="385">
        <v>97.010999999999996</v>
      </c>
      <c r="E117" s="385">
        <v>93.72</v>
      </c>
      <c r="F117" s="366">
        <f>C117*(E117-D117)</f>
        <v>-164.54999999999984</v>
      </c>
      <c r="G117" s="366">
        <f t="shared" si="29"/>
        <v>4850.55</v>
      </c>
      <c r="H117" s="368">
        <f t="shared" si="30"/>
        <v>-3.3923988001360636E-2</v>
      </c>
      <c r="I117" s="706"/>
      <c r="J117" s="365"/>
      <c r="K117" s="365"/>
      <c r="L117" s="365"/>
    </row>
    <row r="118" spans="1:12" x14ac:dyDescent="0.25">
      <c r="A118" s="365"/>
      <c r="B118" s="364">
        <v>42459</v>
      </c>
      <c r="C118" s="386">
        <v>50</v>
      </c>
      <c r="D118" s="385">
        <v>96.409000000000006</v>
      </c>
      <c r="E118" s="385">
        <v>91.97</v>
      </c>
      <c r="F118" s="366">
        <f t="shared" ref="F118:F181" si="31">C118*(E118-D118)</f>
        <v>-221.95000000000036</v>
      </c>
      <c r="G118" s="366">
        <f t="shared" si="29"/>
        <v>4820.4500000000007</v>
      </c>
      <c r="H118" s="368">
        <f t="shared" si="30"/>
        <v>-4.604341918285644E-2</v>
      </c>
      <c r="I118" s="706" t="s">
        <v>185</v>
      </c>
      <c r="J118" s="365"/>
      <c r="K118" s="365"/>
      <c r="L118" s="365"/>
    </row>
    <row r="119" spans="1:12" x14ac:dyDescent="0.25">
      <c r="A119" s="365"/>
      <c r="B119" s="364">
        <v>42469</v>
      </c>
      <c r="C119" s="386">
        <v>50</v>
      </c>
      <c r="D119" s="385">
        <v>96.409000000000006</v>
      </c>
      <c r="E119" s="385">
        <v>96.09</v>
      </c>
      <c r="F119" s="366">
        <f t="shared" si="31"/>
        <v>-15.950000000000131</v>
      </c>
      <c r="G119" s="366">
        <f t="shared" si="29"/>
        <v>4820.4500000000007</v>
      </c>
      <c r="H119" s="368">
        <f t="shared" si="30"/>
        <v>-3.3088197160016449E-3</v>
      </c>
      <c r="I119" s="706"/>
      <c r="J119" s="365"/>
      <c r="K119" s="365"/>
      <c r="L119" s="365"/>
    </row>
    <row r="120" spans="1:12" x14ac:dyDescent="0.25">
      <c r="A120" s="365"/>
      <c r="B120" s="364">
        <v>42475</v>
      </c>
      <c r="C120" s="386">
        <v>50</v>
      </c>
      <c r="D120" s="385">
        <v>96.409000000000006</v>
      </c>
      <c r="E120" s="385">
        <v>98.29</v>
      </c>
      <c r="F120" s="366">
        <f t="shared" si="31"/>
        <v>94.050000000000011</v>
      </c>
      <c r="G120" s="366">
        <f t="shared" si="29"/>
        <v>4820.4500000000007</v>
      </c>
      <c r="H120" s="368">
        <f t="shared" si="30"/>
        <v>1.951062660125092E-2</v>
      </c>
      <c r="I120" s="706"/>
      <c r="J120" s="365"/>
      <c r="K120" s="365"/>
      <c r="L120" s="365"/>
    </row>
    <row r="121" spans="1:12" x14ac:dyDescent="0.25">
      <c r="A121" s="365"/>
      <c r="B121" s="364">
        <v>42478</v>
      </c>
      <c r="C121" s="386">
        <v>25</v>
      </c>
      <c r="D121" s="385">
        <v>93.37</v>
      </c>
      <c r="E121" s="385">
        <v>99.2</v>
      </c>
      <c r="F121" s="366">
        <f t="shared" si="31"/>
        <v>145.74999999999994</v>
      </c>
      <c r="G121" s="366">
        <f t="shared" si="29"/>
        <v>2334.25</v>
      </c>
      <c r="H121" s="368">
        <f t="shared" si="30"/>
        <v>6.2439755810217393E-2</v>
      </c>
      <c r="I121" s="706"/>
      <c r="J121" s="365"/>
      <c r="K121" s="365"/>
      <c r="L121" s="365"/>
    </row>
    <row r="122" spans="1:12" x14ac:dyDescent="0.25">
      <c r="A122" s="365"/>
      <c r="B122" s="364">
        <v>42488</v>
      </c>
      <c r="C122" s="386">
        <v>50</v>
      </c>
      <c r="D122" s="385">
        <v>95.81</v>
      </c>
      <c r="E122" s="385">
        <v>97</v>
      </c>
      <c r="F122" s="366">
        <f t="shared" si="31"/>
        <v>59.499999999999886</v>
      </c>
      <c r="G122" s="366">
        <f t="shared" si="29"/>
        <v>4790.5</v>
      </c>
      <c r="H122" s="368">
        <f t="shared" si="30"/>
        <v>1.2420415405490009E-2</v>
      </c>
      <c r="I122" s="706"/>
      <c r="J122" s="365"/>
      <c r="K122" s="365"/>
      <c r="L122" s="365"/>
    </row>
    <row r="123" spans="1:12" x14ac:dyDescent="0.25">
      <c r="A123" s="365"/>
      <c r="B123" s="364">
        <v>42489</v>
      </c>
      <c r="C123" s="386">
        <v>70</v>
      </c>
      <c r="D123" s="385">
        <v>94.247</v>
      </c>
      <c r="E123" s="366">
        <v>88.21</v>
      </c>
      <c r="F123" s="366">
        <f t="shared" si="31"/>
        <v>-422.59000000000043</v>
      </c>
      <c r="G123" s="366">
        <f t="shared" si="29"/>
        <v>6597.29</v>
      </c>
      <c r="H123" s="368">
        <f t="shared" si="30"/>
        <v>-6.4055089286661704E-2</v>
      </c>
      <c r="I123" s="706"/>
      <c r="J123" s="365"/>
      <c r="K123" s="365"/>
      <c r="L123" s="365"/>
    </row>
    <row r="124" spans="1:12" x14ac:dyDescent="0.25">
      <c r="A124" s="365"/>
      <c r="B124" s="364">
        <v>42489</v>
      </c>
      <c r="C124" s="365">
        <v>100</v>
      </c>
      <c r="D124" s="366">
        <v>92.822999999999993</v>
      </c>
      <c r="E124" s="366">
        <v>88.21</v>
      </c>
      <c r="F124" s="366">
        <f t="shared" si="31"/>
        <v>-461.29999999999995</v>
      </c>
      <c r="G124" s="366">
        <f t="shared" si="29"/>
        <v>9282.2999999999993</v>
      </c>
      <c r="H124" s="368">
        <f t="shared" si="30"/>
        <v>-4.9696734645508119E-2</v>
      </c>
      <c r="I124" s="706"/>
      <c r="J124" s="365"/>
      <c r="K124" s="365"/>
      <c r="L124" s="365"/>
    </row>
    <row r="125" spans="1:12" x14ac:dyDescent="0.25">
      <c r="A125" s="365"/>
      <c r="B125" s="364">
        <v>42498</v>
      </c>
      <c r="C125" s="365">
        <v>100</v>
      </c>
      <c r="D125" s="366">
        <v>92.822999999999993</v>
      </c>
      <c r="E125" s="366">
        <v>84.68</v>
      </c>
      <c r="F125" s="366">
        <f t="shared" si="31"/>
        <v>-814.29999999999859</v>
      </c>
      <c r="G125" s="366">
        <f t="shared" si="29"/>
        <v>9282.2999999999993</v>
      </c>
      <c r="H125" s="368">
        <f t="shared" si="30"/>
        <v>-8.7726102366870146E-2</v>
      </c>
      <c r="I125" s="706"/>
      <c r="J125" s="365"/>
      <c r="K125" s="365"/>
      <c r="L125" s="365"/>
    </row>
    <row r="126" spans="1:12" x14ac:dyDescent="0.25">
      <c r="A126" s="365"/>
      <c r="B126" s="364">
        <v>42502</v>
      </c>
      <c r="C126" s="365">
        <v>100</v>
      </c>
      <c r="D126" s="366">
        <v>92.822999999999993</v>
      </c>
      <c r="E126" s="366">
        <v>82.77</v>
      </c>
      <c r="F126" s="366">
        <f t="shared" si="31"/>
        <v>-1005.2999999999997</v>
      </c>
      <c r="G126" s="366">
        <f t="shared" si="29"/>
        <v>9282.2999999999993</v>
      </c>
      <c r="H126" s="368">
        <f t="shared" si="30"/>
        <v>-0.10830289906596423</v>
      </c>
      <c r="I126" s="706"/>
      <c r="J126" s="365"/>
      <c r="K126" s="365"/>
      <c r="L126" s="365"/>
    </row>
    <row r="127" spans="1:12" x14ac:dyDescent="0.25">
      <c r="A127" s="365"/>
      <c r="B127" s="364">
        <v>42514</v>
      </c>
      <c r="C127" s="365">
        <v>100</v>
      </c>
      <c r="D127" s="366">
        <v>92.82</v>
      </c>
      <c r="E127" s="366">
        <v>86.22</v>
      </c>
      <c r="F127" s="366">
        <f t="shared" si="31"/>
        <v>-659.99999999999943</v>
      </c>
      <c r="G127" s="366">
        <f t="shared" si="29"/>
        <v>9282</v>
      </c>
      <c r="H127" s="368">
        <f t="shared" si="30"/>
        <v>-7.1105365223012224E-2</v>
      </c>
      <c r="I127" s="706"/>
      <c r="J127" s="365"/>
      <c r="K127" s="365"/>
      <c r="L127" s="365"/>
    </row>
    <row r="128" spans="1:12" x14ac:dyDescent="0.25">
      <c r="A128" s="365"/>
      <c r="B128" s="364">
        <v>42527</v>
      </c>
      <c r="C128" s="365">
        <v>100</v>
      </c>
      <c r="D128" s="366">
        <v>92.822999999999993</v>
      </c>
      <c r="E128" s="366">
        <v>87.6</v>
      </c>
      <c r="F128" s="366">
        <f t="shared" si="31"/>
        <v>-522.29999999999995</v>
      </c>
      <c r="G128" s="366">
        <f t="shared" si="29"/>
        <v>9282.2999999999993</v>
      </c>
      <c r="H128" s="368">
        <f t="shared" si="30"/>
        <v>-5.6268381758831316E-2</v>
      </c>
      <c r="I128" s="706"/>
      <c r="J128" s="365"/>
      <c r="K128" s="365"/>
      <c r="L128" s="365"/>
    </row>
    <row r="129" spans="1:12" x14ac:dyDescent="0.25">
      <c r="A129" s="365"/>
      <c r="B129" s="364">
        <v>42535</v>
      </c>
      <c r="C129" s="365">
        <v>100</v>
      </c>
      <c r="D129" s="366">
        <v>92.82</v>
      </c>
      <c r="E129" s="366">
        <v>83.57</v>
      </c>
      <c r="F129" s="366">
        <f t="shared" si="31"/>
        <v>-925</v>
      </c>
      <c r="G129" s="366">
        <f t="shared" si="29"/>
        <v>9282</v>
      </c>
      <c r="H129" s="368">
        <f t="shared" si="30"/>
        <v>-9.965524671407025E-2</v>
      </c>
      <c r="I129" s="446">
        <v>88.5</v>
      </c>
      <c r="J129" s="365"/>
      <c r="K129" s="365"/>
      <c r="L129" s="365"/>
    </row>
    <row r="130" spans="1:12" x14ac:dyDescent="0.25">
      <c r="A130" s="365"/>
      <c r="B130" s="364">
        <v>42542</v>
      </c>
      <c r="C130" s="365">
        <v>100</v>
      </c>
      <c r="D130" s="366">
        <v>92.82</v>
      </c>
      <c r="E130" s="366">
        <v>81.790000000000006</v>
      </c>
      <c r="F130" s="366">
        <f t="shared" si="31"/>
        <v>-1102.9999999999986</v>
      </c>
      <c r="G130" s="366">
        <f t="shared" si="29"/>
        <v>9282</v>
      </c>
      <c r="H130" s="368">
        <f t="shared" si="30"/>
        <v>-0.11883214824391282</v>
      </c>
      <c r="I130" s="706"/>
      <c r="J130" s="365"/>
      <c r="K130" s="365"/>
      <c r="L130" s="365"/>
    </row>
    <row r="131" spans="1:12" x14ac:dyDescent="0.25">
      <c r="A131" s="365"/>
      <c r="B131" s="364">
        <v>42545</v>
      </c>
      <c r="C131" s="365">
        <v>200</v>
      </c>
      <c r="D131" s="366">
        <v>86.647000000000006</v>
      </c>
      <c r="E131" s="366">
        <v>80.47</v>
      </c>
      <c r="F131" s="366">
        <f t="shared" si="31"/>
        <v>-1235.4000000000015</v>
      </c>
      <c r="G131" s="366">
        <f t="shared" si="29"/>
        <v>17329.400000000001</v>
      </c>
      <c r="H131" s="368">
        <f t="shared" si="30"/>
        <v>-7.1289254099968918E-2</v>
      </c>
      <c r="I131" s="706"/>
      <c r="J131" s="365"/>
      <c r="K131" s="365"/>
      <c r="L131" s="365"/>
    </row>
    <row r="132" spans="1:12" x14ac:dyDescent="0.25">
      <c r="A132" s="365"/>
      <c r="B132" s="364">
        <v>42548</v>
      </c>
      <c r="C132" s="365">
        <v>200</v>
      </c>
      <c r="D132" s="366">
        <v>86.647000000000006</v>
      </c>
      <c r="E132" s="366">
        <v>78.25</v>
      </c>
      <c r="F132" s="366">
        <f t="shared" si="31"/>
        <v>-1679.400000000001</v>
      </c>
      <c r="G132" s="366">
        <f t="shared" si="29"/>
        <v>17329.400000000001</v>
      </c>
      <c r="H132" s="368">
        <f t="shared" si="30"/>
        <v>-9.6910452756587134E-2</v>
      </c>
      <c r="I132" s="706"/>
      <c r="J132" s="365"/>
      <c r="K132" s="365"/>
      <c r="L132" s="365"/>
    </row>
    <row r="133" spans="1:12" x14ac:dyDescent="0.25">
      <c r="A133" s="365"/>
      <c r="B133" s="364">
        <v>42549</v>
      </c>
      <c r="C133" s="365">
        <v>200</v>
      </c>
      <c r="D133" s="366">
        <v>86.647000000000006</v>
      </c>
      <c r="E133" s="366">
        <v>82.31</v>
      </c>
      <c r="F133" s="366">
        <f t="shared" si="31"/>
        <v>-867.40000000000066</v>
      </c>
      <c r="G133" s="366">
        <f t="shared" si="29"/>
        <v>17329.400000000001</v>
      </c>
      <c r="H133" s="368">
        <f t="shared" si="30"/>
        <v>-5.0053666024213218E-2</v>
      </c>
      <c r="I133" s="706"/>
      <c r="J133" s="365"/>
      <c r="K133" s="365"/>
      <c r="L133" s="365"/>
    </row>
    <row r="134" spans="1:12" x14ac:dyDescent="0.25">
      <c r="A134" s="365"/>
      <c r="B134" s="364">
        <v>42550</v>
      </c>
      <c r="C134" s="365">
        <v>200</v>
      </c>
      <c r="D134" s="366">
        <v>86.411500000000004</v>
      </c>
      <c r="E134" s="366">
        <v>82.27</v>
      </c>
      <c r="F134" s="366">
        <f t="shared" si="31"/>
        <v>-828.30000000000155</v>
      </c>
      <c r="G134" s="366">
        <f t="shared" si="29"/>
        <v>17282.3</v>
      </c>
      <c r="H134" s="368">
        <f t="shared" si="30"/>
        <v>-4.7927648519005078E-2</v>
      </c>
      <c r="I134" s="706" t="s">
        <v>185</v>
      </c>
      <c r="J134" s="365"/>
      <c r="K134" s="365"/>
      <c r="L134" s="365"/>
    </row>
    <row r="135" spans="1:12" x14ac:dyDescent="0.25">
      <c r="A135" s="365"/>
      <c r="B135" s="364">
        <v>42552</v>
      </c>
      <c r="C135" s="365">
        <v>100</v>
      </c>
      <c r="D135" s="366">
        <v>89.084800000000001</v>
      </c>
      <c r="E135" s="366">
        <v>84.86</v>
      </c>
      <c r="F135" s="366">
        <f t="shared" si="31"/>
        <v>-422.48000000000019</v>
      </c>
      <c r="G135" s="366">
        <f t="shared" si="29"/>
        <v>8908.48</v>
      </c>
      <c r="H135" s="368">
        <f t="shared" si="30"/>
        <v>-4.7424476453895636E-2</v>
      </c>
      <c r="I135" s="706"/>
      <c r="J135" s="365"/>
      <c r="K135" s="365"/>
      <c r="L135" s="365"/>
    </row>
    <row r="136" spans="1:12" x14ac:dyDescent="0.25">
      <c r="A136" s="365"/>
      <c r="B136" s="364">
        <v>42556</v>
      </c>
      <c r="C136" s="365">
        <v>100</v>
      </c>
      <c r="D136" s="366">
        <v>89.084800000000001</v>
      </c>
      <c r="E136" s="366">
        <v>83.89</v>
      </c>
      <c r="F136" s="366">
        <f t="shared" si="31"/>
        <v>-519.48</v>
      </c>
      <c r="G136" s="366">
        <f t="shared" si="29"/>
        <v>8908.48</v>
      </c>
      <c r="H136" s="368">
        <f t="shared" si="30"/>
        <v>-5.8312978196055902E-2</v>
      </c>
      <c r="I136" s="706"/>
      <c r="J136" s="365"/>
      <c r="K136" s="365"/>
      <c r="L136" s="365"/>
    </row>
    <row r="137" spans="1:12" x14ac:dyDescent="0.25">
      <c r="A137" s="365"/>
      <c r="B137" s="364">
        <v>42559</v>
      </c>
      <c r="C137" s="365">
        <v>100</v>
      </c>
      <c r="D137" s="366">
        <v>89.084800000000001</v>
      </c>
      <c r="E137" s="366">
        <v>86.55</v>
      </c>
      <c r="F137" s="366">
        <f t="shared" si="31"/>
        <v>-253.48000000000042</v>
      </c>
      <c r="G137" s="366">
        <f t="shared" si="29"/>
        <v>8908.48</v>
      </c>
      <c r="H137" s="368">
        <f t="shared" si="30"/>
        <v>-2.8453787851575176E-2</v>
      </c>
      <c r="I137" s="706"/>
      <c r="J137" s="365"/>
      <c r="K137" s="365"/>
      <c r="L137" s="365"/>
    </row>
    <row r="138" spans="1:12" x14ac:dyDescent="0.25">
      <c r="A138" s="365"/>
      <c r="B138" s="364">
        <v>42569</v>
      </c>
      <c r="C138" s="365">
        <v>100</v>
      </c>
      <c r="D138" s="366">
        <v>89.084800000000001</v>
      </c>
      <c r="E138" s="366">
        <v>86.93</v>
      </c>
      <c r="F138" s="366">
        <f t="shared" si="31"/>
        <v>-215.47999999999945</v>
      </c>
      <c r="G138" s="366">
        <f t="shared" si="29"/>
        <v>8908.48</v>
      </c>
      <c r="H138" s="368">
        <f t="shared" si="30"/>
        <v>-2.4188189230934957E-2</v>
      </c>
      <c r="I138" s="706"/>
      <c r="J138" s="365"/>
      <c r="K138" s="365"/>
      <c r="L138" s="365"/>
    </row>
    <row r="139" spans="1:12" x14ac:dyDescent="0.25">
      <c r="A139" s="365"/>
      <c r="B139" s="364">
        <v>42570</v>
      </c>
      <c r="C139" s="365">
        <v>100</v>
      </c>
      <c r="D139" s="366">
        <v>89.084800000000001</v>
      </c>
      <c r="E139" s="366">
        <v>85.44</v>
      </c>
      <c r="F139" s="366">
        <f t="shared" si="31"/>
        <v>-364.48000000000036</v>
      </c>
      <c r="G139" s="366">
        <f t="shared" si="29"/>
        <v>8908.48</v>
      </c>
      <c r="H139" s="368">
        <f t="shared" si="30"/>
        <v>-4.0913825927655488E-2</v>
      </c>
      <c r="I139" s="706"/>
      <c r="J139" s="365"/>
      <c r="K139" s="365"/>
      <c r="L139" s="365"/>
    </row>
    <row r="140" spans="1:12" x14ac:dyDescent="0.25">
      <c r="A140" s="365"/>
      <c r="B140" s="364">
        <v>42571</v>
      </c>
      <c r="C140" s="365">
        <v>100</v>
      </c>
      <c r="D140" s="366">
        <v>89.084800000000001</v>
      </c>
      <c r="E140" s="366">
        <v>86.66</v>
      </c>
      <c r="F140" s="366">
        <f t="shared" si="31"/>
        <v>-242.48000000000047</v>
      </c>
      <c r="G140" s="366">
        <f t="shared" si="29"/>
        <v>8908.48</v>
      </c>
      <c r="H140" s="368">
        <f t="shared" si="30"/>
        <v>-2.7219009303495148E-2</v>
      </c>
      <c r="I140" s="706"/>
      <c r="J140" s="365"/>
      <c r="K140" s="365"/>
      <c r="L140" s="365"/>
    </row>
    <row r="141" spans="1:12" x14ac:dyDescent="0.25">
      <c r="A141" s="365"/>
      <c r="B141" s="364">
        <v>42572</v>
      </c>
      <c r="C141" s="365">
        <v>100</v>
      </c>
      <c r="D141" s="366">
        <v>89.084800000000001</v>
      </c>
      <c r="E141" s="366">
        <v>87.24</v>
      </c>
      <c r="F141" s="366">
        <f t="shared" si="31"/>
        <v>-184.48000000000064</v>
      </c>
      <c r="G141" s="366">
        <f t="shared" si="29"/>
        <v>8908.48</v>
      </c>
      <c r="H141" s="368">
        <f t="shared" si="30"/>
        <v>-2.0708358777255003E-2</v>
      </c>
      <c r="I141" s="706"/>
      <c r="J141" s="365"/>
      <c r="K141" s="365"/>
      <c r="L141" s="365"/>
    </row>
    <row r="142" spans="1:12" x14ac:dyDescent="0.25">
      <c r="A142" s="365"/>
      <c r="B142" s="364">
        <v>42575</v>
      </c>
      <c r="C142" s="365">
        <v>100</v>
      </c>
      <c r="D142" s="366">
        <v>89.084800000000001</v>
      </c>
      <c r="E142" s="366">
        <v>86.55</v>
      </c>
      <c r="F142" s="366">
        <f t="shared" si="31"/>
        <v>-253.48000000000042</v>
      </c>
      <c r="G142" s="366">
        <f t="shared" si="29"/>
        <v>8908.48</v>
      </c>
      <c r="H142" s="368">
        <f t="shared" si="30"/>
        <v>-2.8453787851575176E-2</v>
      </c>
      <c r="I142" s="707"/>
      <c r="J142" s="365"/>
      <c r="K142" s="365"/>
      <c r="L142" s="365"/>
    </row>
    <row r="143" spans="1:12" x14ac:dyDescent="0.25">
      <c r="A143" s="365"/>
      <c r="B143" s="364">
        <v>42576</v>
      </c>
      <c r="C143" s="365">
        <v>100</v>
      </c>
      <c r="D143" s="366">
        <v>89.084800000000001</v>
      </c>
      <c r="E143" s="366">
        <v>88.55</v>
      </c>
      <c r="F143" s="366">
        <f t="shared" si="31"/>
        <v>-53.480000000000416</v>
      </c>
      <c r="G143" s="366">
        <f t="shared" si="29"/>
        <v>8908.48</v>
      </c>
      <c r="H143" s="368">
        <f t="shared" si="30"/>
        <v>-6.0032687955746001E-3</v>
      </c>
      <c r="I143" s="706" t="s">
        <v>248</v>
      </c>
      <c r="J143" s="365"/>
      <c r="K143" s="365"/>
      <c r="L143" s="365"/>
    </row>
    <row r="144" spans="1:12" x14ac:dyDescent="0.25">
      <c r="A144" s="365"/>
      <c r="B144" s="364">
        <v>42577</v>
      </c>
      <c r="C144" s="365">
        <v>120</v>
      </c>
      <c r="D144" s="366">
        <v>87.677300000000002</v>
      </c>
      <c r="E144" s="366">
        <v>81.05</v>
      </c>
      <c r="F144" s="366">
        <f t="shared" si="31"/>
        <v>-795.27600000000064</v>
      </c>
      <c r="G144" s="366">
        <f t="shared" si="29"/>
        <v>10521.276</v>
      </c>
      <c r="H144" s="368">
        <f t="shared" si="30"/>
        <v>-7.5587409740035388E-2</v>
      </c>
      <c r="I144" s="706"/>
      <c r="J144" s="365"/>
      <c r="K144" s="365"/>
      <c r="L144" s="365"/>
    </row>
    <row r="145" spans="1:12" x14ac:dyDescent="0.25">
      <c r="A145" s="365"/>
      <c r="B145" s="364">
        <v>42580</v>
      </c>
      <c r="C145" s="365">
        <v>150</v>
      </c>
      <c r="D145" s="366">
        <v>86.017899999999997</v>
      </c>
      <c r="E145" s="366">
        <v>79.47</v>
      </c>
      <c r="F145" s="366">
        <f t="shared" si="31"/>
        <v>-982.18499999999972</v>
      </c>
      <c r="G145" s="366">
        <f t="shared" si="29"/>
        <v>12902.684999999999</v>
      </c>
      <c r="H145" s="368">
        <f t="shared" si="30"/>
        <v>-7.6122527985454172E-2</v>
      </c>
      <c r="I145" s="706"/>
      <c r="J145" s="365"/>
      <c r="K145" s="365"/>
      <c r="L145" s="365"/>
    </row>
    <row r="146" spans="1:12" x14ac:dyDescent="0.25">
      <c r="A146" s="365"/>
      <c r="B146" s="364">
        <v>42593</v>
      </c>
      <c r="C146" s="365">
        <v>150</v>
      </c>
      <c r="D146" s="366">
        <v>86.017899999999997</v>
      </c>
      <c r="E146" s="366">
        <v>78.900000000000006</v>
      </c>
      <c r="F146" s="366">
        <f t="shared" si="31"/>
        <v>-1067.6849999999988</v>
      </c>
      <c r="G146" s="366">
        <f t="shared" si="29"/>
        <v>12902.684999999999</v>
      </c>
      <c r="H146" s="368">
        <f t="shared" si="30"/>
        <v>-8.2749055719797765E-2</v>
      </c>
      <c r="I146" s="706"/>
      <c r="J146" s="365"/>
      <c r="K146" s="365"/>
      <c r="L146" s="365"/>
    </row>
    <row r="147" spans="1:12" x14ac:dyDescent="0.25">
      <c r="A147" s="365"/>
      <c r="B147" s="364">
        <v>42597</v>
      </c>
      <c r="C147" s="365">
        <v>150</v>
      </c>
      <c r="D147" s="366">
        <v>86.017899999999997</v>
      </c>
      <c r="E147" s="366">
        <v>79.650000000000006</v>
      </c>
      <c r="F147" s="366">
        <f t="shared" si="31"/>
        <v>-955.18499999999881</v>
      </c>
      <c r="G147" s="366">
        <f t="shared" si="29"/>
        <v>12902.684999999999</v>
      </c>
      <c r="H147" s="368">
        <f t="shared" si="30"/>
        <v>-7.4029940279871892E-2</v>
      </c>
      <c r="I147" s="706"/>
      <c r="J147" s="365"/>
      <c r="K147" s="365"/>
      <c r="L147" s="365"/>
    </row>
    <row r="148" spans="1:12" x14ac:dyDescent="0.25">
      <c r="A148" s="365"/>
      <c r="B148" s="364">
        <v>42599</v>
      </c>
      <c r="C148" s="365">
        <v>150</v>
      </c>
      <c r="D148" s="366">
        <v>86.017899999999997</v>
      </c>
      <c r="E148" s="366">
        <v>80.7</v>
      </c>
      <c r="F148" s="366">
        <f t="shared" si="31"/>
        <v>-797.68499999999915</v>
      </c>
      <c r="G148" s="366">
        <f t="shared" si="29"/>
        <v>12902.684999999999</v>
      </c>
      <c r="H148" s="368">
        <f t="shared" si="30"/>
        <v>-6.1823178663975693E-2</v>
      </c>
      <c r="I148" s="706"/>
      <c r="J148" s="365"/>
      <c r="K148" s="365"/>
      <c r="L148" s="365"/>
    </row>
    <row r="149" spans="1:12" x14ac:dyDescent="0.25">
      <c r="A149" s="365"/>
      <c r="B149" s="364">
        <v>42600</v>
      </c>
      <c r="C149" s="365">
        <v>150</v>
      </c>
      <c r="D149" s="366">
        <v>86.017899999999997</v>
      </c>
      <c r="E149" s="366">
        <v>80.59</v>
      </c>
      <c r="F149" s="366">
        <f t="shared" si="31"/>
        <v>-814.18499999999904</v>
      </c>
      <c r="G149" s="366">
        <f t="shared" si="29"/>
        <v>12902.684999999999</v>
      </c>
      <c r="H149" s="368">
        <f t="shared" si="30"/>
        <v>-6.3101982261831474E-2</v>
      </c>
      <c r="I149" s="706"/>
      <c r="J149" s="365"/>
      <c r="K149" s="365"/>
      <c r="L149" s="365"/>
    </row>
    <row r="150" spans="1:12" x14ac:dyDescent="0.25">
      <c r="A150" s="365"/>
      <c r="B150" s="364">
        <v>42601</v>
      </c>
      <c r="C150" s="365">
        <v>150</v>
      </c>
      <c r="D150" s="366">
        <v>86.017899999999997</v>
      </c>
      <c r="E150" s="366">
        <v>81</v>
      </c>
      <c r="F150" s="366">
        <f t="shared" si="31"/>
        <v>-752.6849999999996</v>
      </c>
      <c r="G150" s="366">
        <f t="shared" si="29"/>
        <v>12902.684999999999</v>
      </c>
      <c r="H150" s="368">
        <f t="shared" si="30"/>
        <v>-5.8335532488005375E-2</v>
      </c>
      <c r="I150" s="706"/>
      <c r="J150" s="365"/>
      <c r="K150" s="365"/>
      <c r="L150" s="365"/>
    </row>
    <row r="151" spans="1:12" x14ac:dyDescent="0.25">
      <c r="A151" s="365"/>
      <c r="B151" s="364">
        <v>42605</v>
      </c>
      <c r="C151" s="365">
        <v>150</v>
      </c>
      <c r="D151" s="366">
        <v>86.017899999999997</v>
      </c>
      <c r="E151" s="366">
        <v>81.47</v>
      </c>
      <c r="F151" s="366">
        <f t="shared" si="31"/>
        <v>-682.18499999999972</v>
      </c>
      <c r="G151" s="366">
        <f t="shared" si="29"/>
        <v>12902.684999999999</v>
      </c>
      <c r="H151" s="368">
        <f t="shared" si="30"/>
        <v>-5.2871553478985173E-2</v>
      </c>
      <c r="I151" s="706"/>
      <c r="J151" s="365"/>
      <c r="K151" s="365"/>
      <c r="L151" s="365"/>
    </row>
    <row r="152" spans="1:12" x14ac:dyDescent="0.25">
      <c r="A152" s="365"/>
      <c r="B152" s="364">
        <v>42606</v>
      </c>
      <c r="C152" s="365">
        <v>150</v>
      </c>
      <c r="D152" s="366">
        <v>86.017899999999997</v>
      </c>
      <c r="E152" s="366">
        <v>80.5</v>
      </c>
      <c r="F152" s="366">
        <f t="shared" si="31"/>
        <v>-827.6849999999996</v>
      </c>
      <c r="G152" s="366">
        <f t="shared" si="29"/>
        <v>12902.684999999999</v>
      </c>
      <c r="H152" s="368">
        <f t="shared" si="30"/>
        <v>-6.4148276114622621E-2</v>
      </c>
      <c r="I152" s="706"/>
      <c r="J152" s="365"/>
      <c r="K152" s="365"/>
      <c r="L152" s="365"/>
    </row>
    <row r="153" spans="1:12" x14ac:dyDescent="0.25">
      <c r="A153" s="365"/>
      <c r="B153" s="364">
        <v>42607</v>
      </c>
      <c r="C153" s="365">
        <v>150</v>
      </c>
      <c r="D153" s="366">
        <v>86.017899999999997</v>
      </c>
      <c r="E153" s="366">
        <v>80.08</v>
      </c>
      <c r="F153" s="366">
        <f t="shared" si="31"/>
        <v>-890.68499999999983</v>
      </c>
      <c r="G153" s="366">
        <f t="shared" si="29"/>
        <v>12902.684999999999</v>
      </c>
      <c r="H153" s="368">
        <f t="shared" si="30"/>
        <v>-6.9030980760981131E-2</v>
      </c>
      <c r="I153" s="706"/>
      <c r="J153" s="365"/>
      <c r="K153" s="365"/>
      <c r="L153" s="365"/>
    </row>
    <row r="154" spans="1:12" x14ac:dyDescent="0.25">
      <c r="A154" s="365"/>
      <c r="B154" s="364">
        <v>42608</v>
      </c>
      <c r="C154" s="365">
        <v>170</v>
      </c>
      <c r="D154" s="366">
        <v>85.225200000000001</v>
      </c>
      <c r="E154" s="366">
        <v>79.77</v>
      </c>
      <c r="F154" s="366">
        <f t="shared" si="31"/>
        <v>-927.38400000000081</v>
      </c>
      <c r="G154" s="366">
        <f t="shared" si="29"/>
        <v>14488.284</v>
      </c>
      <c r="H154" s="368">
        <f t="shared" si="30"/>
        <v>-6.4009236704636707E-2</v>
      </c>
      <c r="I154" s="706"/>
      <c r="J154" s="365"/>
      <c r="K154" s="365"/>
      <c r="L154" s="365"/>
    </row>
    <row r="155" spans="1:12" x14ac:dyDescent="0.25">
      <c r="A155" s="365"/>
      <c r="B155" s="364">
        <v>42609</v>
      </c>
      <c r="C155" s="365">
        <v>170</v>
      </c>
      <c r="D155" s="366">
        <v>85.225200000000001</v>
      </c>
      <c r="E155" s="366">
        <v>77.92</v>
      </c>
      <c r="F155" s="366">
        <f t="shared" si="31"/>
        <v>-1241.8839999999998</v>
      </c>
      <c r="G155" s="366">
        <f t="shared" si="29"/>
        <v>14488.284</v>
      </c>
      <c r="H155" s="368">
        <f t="shared" si="30"/>
        <v>-8.5716431290275633E-2</v>
      </c>
      <c r="I155" s="706"/>
      <c r="J155" s="365"/>
      <c r="K155" s="365"/>
      <c r="L155" s="365"/>
    </row>
    <row r="156" spans="1:12" x14ac:dyDescent="0.25">
      <c r="A156" s="365"/>
      <c r="B156" s="364">
        <v>42614</v>
      </c>
      <c r="C156" s="365">
        <v>200</v>
      </c>
      <c r="D156" s="366">
        <v>84.093400000000003</v>
      </c>
      <c r="E156" s="366">
        <v>77.42</v>
      </c>
      <c r="F156" s="366">
        <f t="shared" si="31"/>
        <v>-1334.6800000000003</v>
      </c>
      <c r="G156" s="366">
        <f t="shared" si="29"/>
        <v>16818.68</v>
      </c>
      <c r="H156" s="368">
        <f t="shared" si="30"/>
        <v>-7.9357000668304534E-2</v>
      </c>
      <c r="I156" s="706"/>
      <c r="J156" s="365"/>
      <c r="K156" s="365"/>
      <c r="L156" s="365"/>
    </row>
    <row r="157" spans="1:12" x14ac:dyDescent="0.25">
      <c r="A157" s="365"/>
      <c r="B157" s="364">
        <v>42615</v>
      </c>
      <c r="C157" s="365">
        <v>200</v>
      </c>
      <c r="D157" s="366">
        <v>84.093400000000003</v>
      </c>
      <c r="E157" s="366">
        <v>76.89</v>
      </c>
      <c r="F157" s="366">
        <f t="shared" si="31"/>
        <v>-1440.6800000000003</v>
      </c>
      <c r="G157" s="366">
        <f t="shared" si="29"/>
        <v>16818.68</v>
      </c>
      <c r="H157" s="368">
        <f t="shared" si="30"/>
        <v>-8.5659516680262685E-2</v>
      </c>
      <c r="I157" s="706"/>
      <c r="J157" s="365"/>
      <c r="K157" s="365"/>
      <c r="L157" s="365"/>
    </row>
    <row r="158" spans="1:12" x14ac:dyDescent="0.25">
      <c r="A158" s="365"/>
      <c r="B158" s="364">
        <v>42619</v>
      </c>
      <c r="C158" s="365">
        <v>200</v>
      </c>
      <c r="D158" s="366">
        <v>84.093400000000003</v>
      </c>
      <c r="E158" s="366">
        <v>77.88</v>
      </c>
      <c r="F158" s="366">
        <f t="shared" si="31"/>
        <v>-1242.6800000000014</v>
      </c>
      <c r="G158" s="366">
        <f t="shared" si="29"/>
        <v>16818.68</v>
      </c>
      <c r="H158" s="368">
        <f t="shared" si="30"/>
        <v>-7.3886892431510753E-2</v>
      </c>
      <c r="I158" s="706"/>
      <c r="J158" s="365"/>
      <c r="K158" s="365"/>
      <c r="L158" s="365"/>
    </row>
    <row r="159" spans="1:12" x14ac:dyDescent="0.25">
      <c r="A159" s="365"/>
      <c r="B159" s="364">
        <v>42632</v>
      </c>
      <c r="C159" s="365">
        <v>200</v>
      </c>
      <c r="D159" s="366">
        <v>84.093400000000003</v>
      </c>
      <c r="E159" s="366">
        <v>78.989999999999995</v>
      </c>
      <c r="F159" s="366">
        <f t="shared" si="31"/>
        <v>-1020.6800000000015</v>
      </c>
      <c r="G159" s="366">
        <f t="shared" si="29"/>
        <v>16818.68</v>
      </c>
      <c r="H159" s="368">
        <f t="shared" si="30"/>
        <v>-6.0687283425334304E-2</v>
      </c>
      <c r="I159" s="706"/>
      <c r="J159" s="365"/>
      <c r="K159" s="365"/>
      <c r="L159" s="365"/>
    </row>
    <row r="160" spans="1:12" x14ac:dyDescent="0.25">
      <c r="A160" s="365"/>
      <c r="B160" s="364">
        <v>42633</v>
      </c>
      <c r="C160" s="365">
        <v>200</v>
      </c>
      <c r="D160" s="366">
        <v>84.093400000000003</v>
      </c>
      <c r="E160" s="366">
        <v>81.78</v>
      </c>
      <c r="F160" s="366">
        <f t="shared" si="31"/>
        <v>-462.68000000000029</v>
      </c>
      <c r="G160" s="366">
        <f t="shared" si="29"/>
        <v>16818.68</v>
      </c>
      <c r="H160" s="368">
        <f t="shared" si="30"/>
        <v>-2.7509887815215003E-2</v>
      </c>
      <c r="I160" s="706"/>
      <c r="J160" s="365"/>
      <c r="K160" s="365"/>
      <c r="L160" s="365"/>
    </row>
    <row r="161" spans="1:12" x14ac:dyDescent="0.25">
      <c r="A161" s="365"/>
      <c r="B161" s="364">
        <v>42635</v>
      </c>
      <c r="C161" s="365">
        <v>200</v>
      </c>
      <c r="D161" s="366">
        <v>84.093400000000003</v>
      </c>
      <c r="E161" s="366">
        <v>81.52</v>
      </c>
      <c r="F161" s="366">
        <f t="shared" si="31"/>
        <v>-514.68000000000131</v>
      </c>
      <c r="G161" s="366">
        <f t="shared" si="29"/>
        <v>16818.68</v>
      </c>
      <c r="H161" s="368">
        <f t="shared" si="30"/>
        <v>-3.060168812296811E-2</v>
      </c>
      <c r="I161" s="706"/>
      <c r="J161" s="365"/>
      <c r="K161" s="365"/>
      <c r="L161" s="365"/>
    </row>
    <row r="162" spans="1:12" x14ac:dyDescent="0.25">
      <c r="A162" s="365"/>
      <c r="B162" s="364">
        <v>42640</v>
      </c>
      <c r="C162" s="365">
        <v>200</v>
      </c>
      <c r="D162" s="366">
        <v>84.093400000000003</v>
      </c>
      <c r="E162" s="366">
        <v>79.25</v>
      </c>
      <c r="F162" s="366">
        <f t="shared" si="31"/>
        <v>-968.68000000000052</v>
      </c>
      <c r="G162" s="366">
        <f t="shared" si="29"/>
        <v>16818.68</v>
      </c>
      <c r="H162" s="368">
        <f t="shared" si="30"/>
        <v>-5.7595483117581198E-2</v>
      </c>
      <c r="I162" s="706" t="s">
        <v>185</v>
      </c>
      <c r="J162" s="365"/>
      <c r="K162" s="365"/>
      <c r="L162" s="365"/>
    </row>
    <row r="163" spans="1:12" x14ac:dyDescent="0.25">
      <c r="A163" s="365"/>
      <c r="B163" s="364">
        <v>42643</v>
      </c>
      <c r="C163" s="365">
        <v>200</v>
      </c>
      <c r="D163" s="366">
        <v>83.623400000000004</v>
      </c>
      <c r="E163" s="366">
        <v>79.12</v>
      </c>
      <c r="F163" s="366">
        <f t="shared" si="31"/>
        <v>-900.67999999999984</v>
      </c>
      <c r="G163" s="366">
        <f t="shared" si="29"/>
        <v>16724.68</v>
      </c>
      <c r="H163" s="368">
        <f t="shared" si="30"/>
        <v>-5.3853347268826658E-2</v>
      </c>
      <c r="I163" s="366">
        <v>83</v>
      </c>
      <c r="J163" s="365"/>
      <c r="K163" s="365"/>
      <c r="L163" s="365"/>
    </row>
    <row r="164" spans="1:12" x14ac:dyDescent="0.25">
      <c r="A164" s="365"/>
      <c r="B164" s="364">
        <v>42646</v>
      </c>
      <c r="C164" s="365">
        <v>200</v>
      </c>
      <c r="D164" s="366">
        <v>83.518799999999999</v>
      </c>
      <c r="E164" s="366">
        <v>78.03</v>
      </c>
      <c r="F164" s="366">
        <f t="shared" si="31"/>
        <v>-1097.7599999999995</v>
      </c>
      <c r="G164" s="366">
        <f t="shared" si="29"/>
        <v>16703.759999999998</v>
      </c>
      <c r="H164" s="368">
        <f t="shared" si="30"/>
        <v>-6.5719335047917327E-2</v>
      </c>
      <c r="I164" s="706"/>
      <c r="J164" s="365"/>
      <c r="K164" s="365"/>
      <c r="L164" s="365"/>
    </row>
    <row r="165" spans="1:12" x14ac:dyDescent="0.25">
      <c r="A165" s="365"/>
      <c r="B165" s="364">
        <v>42649</v>
      </c>
      <c r="C165" s="365">
        <v>250</v>
      </c>
      <c r="D165" s="366">
        <v>82.090999999999994</v>
      </c>
      <c r="E165" s="366">
        <v>76.209999999999994</v>
      </c>
      <c r="F165" s="366">
        <f t="shared" si="31"/>
        <v>-1470.25</v>
      </c>
      <c r="G165" s="366">
        <f t="shared" si="29"/>
        <v>20522.75</v>
      </c>
      <c r="H165" s="368">
        <f t="shared" si="30"/>
        <v>-7.1640009258018542E-2</v>
      </c>
      <c r="I165" s="706"/>
      <c r="J165" s="365"/>
      <c r="K165" s="365"/>
      <c r="L165" s="365"/>
    </row>
    <row r="166" spans="1:12" x14ac:dyDescent="0.25">
      <c r="A166" s="365"/>
      <c r="B166" s="364">
        <v>42650</v>
      </c>
      <c r="C166" s="365">
        <v>250</v>
      </c>
      <c r="D166" s="366">
        <v>82.090999999999994</v>
      </c>
      <c r="E166" s="366">
        <v>75.239999999999995</v>
      </c>
      <c r="F166" s="366">
        <f t="shared" si="31"/>
        <v>-1712.7499999999998</v>
      </c>
      <c r="G166" s="366">
        <f t="shared" si="29"/>
        <v>20522.75</v>
      </c>
      <c r="H166" s="368">
        <f t="shared" si="30"/>
        <v>-8.3456164500371535E-2</v>
      </c>
      <c r="I166" s="706"/>
      <c r="J166" s="365"/>
      <c r="K166" s="365"/>
      <c r="L166" s="365"/>
    </row>
    <row r="167" spans="1:12" x14ac:dyDescent="0.25">
      <c r="A167" s="365"/>
      <c r="B167" s="364">
        <v>42661</v>
      </c>
      <c r="C167" s="365">
        <v>250</v>
      </c>
      <c r="D167" s="366">
        <v>82.090999999999994</v>
      </c>
      <c r="E167" s="366">
        <v>73.41</v>
      </c>
      <c r="F167" s="366">
        <f t="shared" si="31"/>
        <v>-2170.2499999999995</v>
      </c>
      <c r="G167" s="366">
        <f t="shared" si="29"/>
        <v>20522.75</v>
      </c>
      <c r="H167" s="368">
        <f t="shared" si="30"/>
        <v>-0.105748498617388</v>
      </c>
      <c r="I167" s="706"/>
      <c r="J167" s="365"/>
      <c r="K167" s="365"/>
      <c r="L167" s="365"/>
    </row>
    <row r="168" spans="1:12" x14ac:dyDescent="0.25">
      <c r="A168" s="365"/>
      <c r="B168" s="364">
        <v>42676</v>
      </c>
      <c r="C168" s="365">
        <v>250</v>
      </c>
      <c r="D168" s="366">
        <v>82.090999999999994</v>
      </c>
      <c r="E168" s="366">
        <v>72.510000000000005</v>
      </c>
      <c r="F168" s="366">
        <f t="shared" si="31"/>
        <v>-2395.2499999999973</v>
      </c>
      <c r="G168" s="366">
        <f t="shared" si="29"/>
        <v>20522.75</v>
      </c>
      <c r="H168" s="368">
        <f t="shared" si="30"/>
        <v>-0.11671194162575665</v>
      </c>
      <c r="I168" s="706"/>
      <c r="J168" s="365"/>
      <c r="K168" s="365"/>
      <c r="L168" s="365"/>
    </row>
    <row r="169" spans="1:12" x14ac:dyDescent="0.25">
      <c r="A169" s="365"/>
      <c r="B169" s="364">
        <v>42701</v>
      </c>
      <c r="C169" s="365">
        <v>200</v>
      </c>
      <c r="D169" s="366">
        <v>82.49</v>
      </c>
      <c r="E169" s="366">
        <v>75.44</v>
      </c>
      <c r="F169" s="366">
        <f t="shared" si="31"/>
        <v>-1409.9999999999995</v>
      </c>
      <c r="G169" s="366">
        <f t="shared" si="29"/>
        <v>16498</v>
      </c>
      <c r="H169" s="368">
        <f t="shared" si="30"/>
        <v>-8.5464904836949906E-2</v>
      </c>
      <c r="I169" s="492" t="s">
        <v>304</v>
      </c>
      <c r="J169" s="365"/>
      <c r="K169" s="365"/>
      <c r="L169" s="365"/>
    </row>
    <row r="170" spans="1:12" x14ac:dyDescent="0.25">
      <c r="A170" s="365"/>
      <c r="B170" s="364">
        <v>42704</v>
      </c>
      <c r="C170" s="365">
        <v>200</v>
      </c>
      <c r="D170" s="366">
        <v>82.49</v>
      </c>
      <c r="E170" s="366">
        <v>73.7</v>
      </c>
      <c r="F170" s="366">
        <f t="shared" si="31"/>
        <v>-1757.9999999999984</v>
      </c>
      <c r="G170" s="366">
        <f t="shared" ref="G170:G202" si="32">D170*C170</f>
        <v>16498</v>
      </c>
      <c r="H170" s="368">
        <f t="shared" ref="H170:H204" si="33">(E170-D170)/D170</f>
        <v>-0.10655837071160132</v>
      </c>
      <c r="I170" s="706"/>
      <c r="J170" s="365"/>
      <c r="K170" s="365"/>
      <c r="L170" s="365"/>
    </row>
    <row r="171" spans="1:12" x14ac:dyDescent="0.25">
      <c r="A171" s="365"/>
      <c r="B171" s="364">
        <v>42705</v>
      </c>
      <c r="C171" s="365">
        <v>250</v>
      </c>
      <c r="D171" s="366">
        <v>80.656000000000006</v>
      </c>
      <c r="E171" s="366">
        <v>72.84</v>
      </c>
      <c r="F171" s="366">
        <f t="shared" si="31"/>
        <v>-1954.0000000000007</v>
      </c>
      <c r="G171" s="366">
        <f t="shared" si="32"/>
        <v>20164</v>
      </c>
      <c r="H171" s="368">
        <f t="shared" si="33"/>
        <v>-9.6905375917476722E-2</v>
      </c>
      <c r="I171" s="706"/>
      <c r="J171" s="365"/>
      <c r="K171" s="365"/>
      <c r="L171" s="365"/>
    </row>
    <row r="172" spans="1:12" x14ac:dyDescent="0.25">
      <c r="A172" s="365"/>
      <c r="B172" s="364">
        <v>42717</v>
      </c>
      <c r="C172" s="365">
        <v>200</v>
      </c>
      <c r="D172" s="366">
        <v>82.125900000000001</v>
      </c>
      <c r="E172" s="366">
        <v>74.84</v>
      </c>
      <c r="F172" s="366">
        <f t="shared" si="31"/>
        <v>-1457.1799999999996</v>
      </c>
      <c r="G172" s="366">
        <f t="shared" si="32"/>
        <v>16425.18</v>
      </c>
      <c r="H172" s="368">
        <f t="shared" si="33"/>
        <v>-8.8716227158545574E-2</v>
      </c>
      <c r="I172" s="706"/>
      <c r="J172" s="365"/>
      <c r="K172" s="365"/>
      <c r="L172" s="365"/>
    </row>
    <row r="173" spans="1:12" x14ac:dyDescent="0.25">
      <c r="A173" s="365"/>
      <c r="B173" s="364">
        <v>42717</v>
      </c>
      <c r="C173" s="365">
        <v>150</v>
      </c>
      <c r="D173" s="366">
        <v>84.257800000000003</v>
      </c>
      <c r="E173" s="366">
        <v>74.84</v>
      </c>
      <c r="F173" s="366">
        <f t="shared" si="31"/>
        <v>-1412.67</v>
      </c>
      <c r="G173" s="366">
        <f t="shared" si="32"/>
        <v>12638.67</v>
      </c>
      <c r="H173" s="368">
        <f t="shared" si="33"/>
        <v>-0.11177362807953685</v>
      </c>
      <c r="I173" s="706"/>
      <c r="J173" s="365"/>
      <c r="K173" s="365"/>
      <c r="L173" s="365"/>
    </row>
    <row r="174" spans="1:12" x14ac:dyDescent="0.25">
      <c r="A174" s="365"/>
      <c r="B174" s="364">
        <v>42717</v>
      </c>
      <c r="C174" s="365">
        <v>200</v>
      </c>
      <c r="D174" s="366">
        <v>81.988399999999999</v>
      </c>
      <c r="E174" s="366">
        <v>74.84</v>
      </c>
      <c r="F174" s="366">
        <f t="shared" si="31"/>
        <v>-1429.6799999999989</v>
      </c>
      <c r="G174" s="366">
        <f t="shared" si="32"/>
        <v>16397.68</v>
      </c>
      <c r="H174" s="368">
        <f t="shared" si="33"/>
        <v>-8.718794366032262E-2</v>
      </c>
      <c r="I174" s="492" t="s">
        <v>315</v>
      </c>
      <c r="J174" s="365"/>
      <c r="K174" s="365"/>
      <c r="L174" s="365"/>
    </row>
    <row r="175" spans="1:12" x14ac:dyDescent="0.25">
      <c r="A175" s="365"/>
      <c r="B175" s="364">
        <v>42733</v>
      </c>
      <c r="C175" s="365">
        <v>250</v>
      </c>
      <c r="D175" s="366">
        <v>80.886700000000005</v>
      </c>
      <c r="E175" s="366">
        <v>72.08</v>
      </c>
      <c r="F175" s="366">
        <f t="shared" si="31"/>
        <v>-2201.6750000000015</v>
      </c>
      <c r="G175" s="366">
        <f t="shared" si="32"/>
        <v>20221.675000000003</v>
      </c>
      <c r="H175" s="368">
        <f t="shared" si="33"/>
        <v>-0.10887698472060309</v>
      </c>
      <c r="I175" s="706"/>
      <c r="J175" s="365"/>
      <c r="K175" s="365"/>
      <c r="L175" s="365"/>
    </row>
    <row r="176" spans="1:12" x14ac:dyDescent="0.25">
      <c r="A176" s="365"/>
      <c r="B176" s="364">
        <v>42734</v>
      </c>
      <c r="C176" s="365">
        <v>250</v>
      </c>
      <c r="D176" s="366">
        <v>79.536699999999996</v>
      </c>
      <c r="E176" s="366">
        <v>72.08</v>
      </c>
      <c r="F176" s="366">
        <f t="shared" si="31"/>
        <v>-1864.1749999999995</v>
      </c>
      <c r="G176" s="366">
        <f t="shared" si="32"/>
        <v>19884.174999999999</v>
      </c>
      <c r="H176" s="368">
        <f t="shared" si="33"/>
        <v>-9.3751689471652688E-2</v>
      </c>
      <c r="I176" s="706" t="s">
        <v>185</v>
      </c>
      <c r="J176" s="365"/>
      <c r="K176" s="365"/>
      <c r="L176" s="365"/>
    </row>
    <row r="177" spans="1:12" x14ac:dyDescent="0.25">
      <c r="A177" s="365"/>
      <c r="B177" s="364">
        <v>42738</v>
      </c>
      <c r="C177" s="365">
        <v>200</v>
      </c>
      <c r="D177" s="366">
        <v>81.026300000000006</v>
      </c>
      <c r="E177" s="366">
        <v>74.16</v>
      </c>
      <c r="F177" s="366">
        <f t="shared" si="31"/>
        <v>-1373.260000000002</v>
      </c>
      <c r="G177" s="366">
        <f t="shared" si="32"/>
        <v>16205.260000000002</v>
      </c>
      <c r="H177" s="368">
        <f t="shared" si="33"/>
        <v>-8.4741620930488121E-2</v>
      </c>
      <c r="I177" s="706"/>
      <c r="J177" s="365"/>
      <c r="K177" s="365"/>
      <c r="L177" s="365"/>
    </row>
    <row r="178" spans="1:12" x14ac:dyDescent="0.25">
      <c r="A178" s="365"/>
      <c r="B178" s="364">
        <v>42739</v>
      </c>
      <c r="C178" s="365">
        <v>200</v>
      </c>
      <c r="D178" s="366">
        <v>81.026300000000006</v>
      </c>
      <c r="E178" s="366">
        <v>76.38</v>
      </c>
      <c r="F178" s="366">
        <f t="shared" si="31"/>
        <v>-929.26000000000215</v>
      </c>
      <c r="G178" s="366">
        <f t="shared" si="32"/>
        <v>16205.260000000002</v>
      </c>
      <c r="H178" s="368">
        <f t="shared" si="33"/>
        <v>-5.7343109582938014E-2</v>
      </c>
      <c r="I178" s="706"/>
      <c r="J178" s="365"/>
      <c r="K178" s="365"/>
      <c r="L178" s="365"/>
    </row>
    <row r="179" spans="1:12" x14ac:dyDescent="0.25">
      <c r="A179" s="365"/>
      <c r="B179" s="364">
        <v>42746</v>
      </c>
      <c r="C179" s="365">
        <v>200</v>
      </c>
      <c r="D179" s="366">
        <v>81.026300000000006</v>
      </c>
      <c r="E179" s="366">
        <v>73.77</v>
      </c>
      <c r="F179" s="366">
        <f t="shared" si="31"/>
        <v>-1451.260000000002</v>
      </c>
      <c r="G179" s="366">
        <f t="shared" si="32"/>
        <v>16205.260000000002</v>
      </c>
      <c r="H179" s="368">
        <f t="shared" si="33"/>
        <v>-8.9554872923976653E-2</v>
      </c>
      <c r="I179" s="706"/>
      <c r="J179" s="365"/>
      <c r="K179" s="365"/>
      <c r="L179" s="365"/>
    </row>
    <row r="180" spans="1:12" x14ac:dyDescent="0.25">
      <c r="A180" s="365"/>
      <c r="B180" s="364">
        <v>43056</v>
      </c>
      <c r="C180" s="365">
        <v>250</v>
      </c>
      <c r="D180" s="366">
        <v>79.197000000000003</v>
      </c>
      <c r="E180" s="366">
        <v>71.91</v>
      </c>
      <c r="F180" s="366">
        <f t="shared" si="31"/>
        <v>-1821.7500000000016</v>
      </c>
      <c r="G180" s="366">
        <f t="shared" si="32"/>
        <v>19799.25</v>
      </c>
      <c r="H180" s="368">
        <f t="shared" si="33"/>
        <v>-9.2011061025038907E-2</v>
      </c>
      <c r="I180" s="492">
        <v>79</v>
      </c>
      <c r="J180" s="365"/>
      <c r="K180" s="365"/>
      <c r="L180" s="365"/>
    </row>
    <row r="181" spans="1:12" x14ac:dyDescent="0.25">
      <c r="A181" s="365" t="s">
        <v>342</v>
      </c>
      <c r="B181" s="364">
        <v>42755</v>
      </c>
      <c r="C181" s="365">
        <v>300</v>
      </c>
      <c r="D181" s="366">
        <v>77.794200000000004</v>
      </c>
      <c r="E181" s="366">
        <v>71.010000000000005</v>
      </c>
      <c r="F181" s="366">
        <f t="shared" si="31"/>
        <v>-2035.2599999999995</v>
      </c>
      <c r="G181" s="366">
        <f t="shared" si="32"/>
        <v>23338.260000000002</v>
      </c>
      <c r="H181" s="368">
        <f t="shared" si="33"/>
        <v>-8.7207015433027113E-2</v>
      </c>
      <c r="I181" s="706"/>
      <c r="J181" s="365"/>
      <c r="K181" s="365"/>
      <c r="L181" s="365"/>
    </row>
    <row r="182" spans="1:12" x14ac:dyDescent="0.25">
      <c r="A182" s="365" t="s">
        <v>362</v>
      </c>
      <c r="B182" s="364">
        <v>42760</v>
      </c>
      <c r="C182" s="365">
        <v>250</v>
      </c>
      <c r="D182" s="366">
        <v>78.997900000000001</v>
      </c>
      <c r="E182" s="366">
        <v>71.78</v>
      </c>
      <c r="F182" s="366">
        <f t="shared" ref="F182:F204" si="34">C182*(E182-D182)</f>
        <v>-1804.4750000000001</v>
      </c>
      <c r="G182" s="366">
        <f t="shared" si="32"/>
        <v>19749.474999999999</v>
      </c>
      <c r="H182" s="368">
        <f t="shared" si="33"/>
        <v>-9.1368251561117442E-2</v>
      </c>
      <c r="I182" s="492" t="s">
        <v>377</v>
      </c>
      <c r="J182" s="365"/>
      <c r="K182" s="365"/>
      <c r="L182" s="365"/>
    </row>
    <row r="183" spans="1:12" x14ac:dyDescent="0.25">
      <c r="A183" s="365" t="s">
        <v>362</v>
      </c>
      <c r="B183" s="364">
        <v>42762</v>
      </c>
      <c r="C183" s="365">
        <v>250</v>
      </c>
      <c r="D183" s="366">
        <v>78.997900000000001</v>
      </c>
      <c r="E183" s="366">
        <v>71.260000000000005</v>
      </c>
      <c r="F183" s="366">
        <f t="shared" si="34"/>
        <v>-1934.474999999999</v>
      </c>
      <c r="G183" s="366">
        <f t="shared" si="32"/>
        <v>19749.474999999999</v>
      </c>
      <c r="H183" s="368">
        <f t="shared" si="33"/>
        <v>-9.7950705018740952E-2</v>
      </c>
      <c r="I183" s="706"/>
      <c r="J183" s="365"/>
      <c r="K183" s="365"/>
      <c r="L183" s="365"/>
    </row>
    <row r="184" spans="1:12" x14ac:dyDescent="0.25">
      <c r="A184" s="365" t="s">
        <v>400</v>
      </c>
      <c r="B184" s="364">
        <v>42771</v>
      </c>
      <c r="C184" s="365">
        <v>250</v>
      </c>
      <c r="D184" s="366">
        <v>78.997900000000001</v>
      </c>
      <c r="E184" s="366">
        <v>72.34</v>
      </c>
      <c r="F184" s="366">
        <f t="shared" si="34"/>
        <v>-1664.4749999999995</v>
      </c>
      <c r="G184" s="366">
        <f t="shared" si="32"/>
        <v>19749.474999999999</v>
      </c>
      <c r="H184" s="368">
        <f t="shared" si="33"/>
        <v>-8.4279455529830516E-2</v>
      </c>
      <c r="I184" s="706"/>
      <c r="J184" s="365"/>
      <c r="K184" s="365"/>
      <c r="L184" s="365"/>
    </row>
    <row r="185" spans="1:12" x14ac:dyDescent="0.25">
      <c r="A185" s="365" t="s">
        <v>342</v>
      </c>
      <c r="B185" s="364">
        <v>42773</v>
      </c>
      <c r="C185" s="365">
        <v>300</v>
      </c>
      <c r="D185" s="366">
        <v>77.411100000000005</v>
      </c>
      <c r="E185" s="366">
        <v>73.13</v>
      </c>
      <c r="F185" s="366">
        <f t="shared" si="34"/>
        <v>-1284.3300000000027</v>
      </c>
      <c r="G185" s="366">
        <f t="shared" si="32"/>
        <v>23223.33</v>
      </c>
      <c r="H185" s="368">
        <f t="shared" si="33"/>
        <v>-5.5303438395785734E-2</v>
      </c>
      <c r="I185" s="706"/>
      <c r="J185" s="365"/>
      <c r="K185" s="365"/>
      <c r="L185" s="365"/>
    </row>
    <row r="186" spans="1:12" x14ac:dyDescent="0.25">
      <c r="A186" s="365" t="s">
        <v>413</v>
      </c>
      <c r="B186" s="364">
        <v>42774</v>
      </c>
      <c r="C186" s="365">
        <v>350</v>
      </c>
      <c r="D186" s="366">
        <v>76.020899999999997</v>
      </c>
      <c r="E186" s="366">
        <v>66</v>
      </c>
      <c r="F186" s="366">
        <f t="shared" si="34"/>
        <v>-3507.3149999999991</v>
      </c>
      <c r="G186" s="366">
        <f t="shared" si="32"/>
        <v>26607.314999999999</v>
      </c>
      <c r="H186" s="368">
        <f t="shared" si="33"/>
        <v>-0.13181769750160807</v>
      </c>
      <c r="I186" s="706"/>
      <c r="J186" s="365"/>
      <c r="K186" s="365"/>
      <c r="L186" s="365"/>
    </row>
    <row r="187" spans="1:12" x14ac:dyDescent="0.25">
      <c r="A187" s="365" t="s">
        <v>431</v>
      </c>
      <c r="B187" s="364">
        <v>42781</v>
      </c>
      <c r="C187" s="365">
        <v>300</v>
      </c>
      <c r="D187" s="366">
        <v>77.194699999999997</v>
      </c>
      <c r="E187" s="366">
        <v>68.98</v>
      </c>
      <c r="F187" s="366">
        <f t="shared" si="34"/>
        <v>-2464.409999999998</v>
      </c>
      <c r="G187" s="366">
        <f t="shared" si="32"/>
        <v>23158.41</v>
      </c>
      <c r="H187" s="368">
        <f t="shared" si="33"/>
        <v>-0.10641533680421057</v>
      </c>
      <c r="I187" s="706"/>
      <c r="J187" s="365"/>
      <c r="K187" s="365"/>
      <c r="L187" s="365"/>
    </row>
    <row r="188" spans="1:12" x14ac:dyDescent="0.25">
      <c r="A188" s="365" t="s">
        <v>434</v>
      </c>
      <c r="B188" s="364">
        <v>42781</v>
      </c>
      <c r="C188" s="365">
        <v>250</v>
      </c>
      <c r="D188" s="366">
        <v>78.683999999999997</v>
      </c>
      <c r="E188" s="366">
        <v>69.8</v>
      </c>
      <c r="F188" s="366">
        <f t="shared" si="34"/>
        <v>-2221</v>
      </c>
      <c r="G188" s="366">
        <f t="shared" si="32"/>
        <v>19671</v>
      </c>
      <c r="H188" s="368">
        <f t="shared" si="33"/>
        <v>-0.11290732550454985</v>
      </c>
      <c r="I188" s="706"/>
      <c r="J188" s="365"/>
      <c r="K188" s="365"/>
      <c r="L188" s="365"/>
    </row>
    <row r="189" spans="1:12" x14ac:dyDescent="0.25">
      <c r="A189" s="365" t="s">
        <v>448</v>
      </c>
      <c r="B189" s="364">
        <v>42788</v>
      </c>
      <c r="C189" s="365">
        <v>250</v>
      </c>
      <c r="D189" s="366">
        <v>78.683999999999997</v>
      </c>
      <c r="E189" s="366">
        <v>68.83</v>
      </c>
      <c r="F189" s="366">
        <f t="shared" si="34"/>
        <v>-2463.5</v>
      </c>
      <c r="G189" s="366">
        <f t="shared" si="32"/>
        <v>19671</v>
      </c>
      <c r="H189" s="368">
        <f t="shared" si="33"/>
        <v>-0.12523511768593359</v>
      </c>
      <c r="I189" s="706"/>
      <c r="J189" s="365"/>
      <c r="K189" s="365"/>
      <c r="L189" s="365"/>
    </row>
    <row r="190" spans="1:12" x14ac:dyDescent="0.25">
      <c r="A190" s="365" t="s">
        <v>400</v>
      </c>
      <c r="B190" s="364">
        <v>42789</v>
      </c>
      <c r="C190" s="365">
        <v>250</v>
      </c>
      <c r="D190" s="366">
        <v>78.683999999999997</v>
      </c>
      <c r="E190" s="366">
        <v>69.94</v>
      </c>
      <c r="F190" s="366">
        <f t="shared" si="34"/>
        <v>-2186</v>
      </c>
      <c r="G190" s="366">
        <f t="shared" si="32"/>
        <v>19671</v>
      </c>
      <c r="H190" s="368">
        <f t="shared" si="33"/>
        <v>-0.11112805652991714</v>
      </c>
      <c r="I190" s="706"/>
      <c r="J190" s="365"/>
      <c r="K190" s="365"/>
      <c r="L190" s="365"/>
    </row>
    <row r="191" spans="1:12" x14ac:dyDescent="0.25">
      <c r="A191" s="365">
        <v>250</v>
      </c>
      <c r="B191" s="364">
        <v>42808</v>
      </c>
      <c r="C191" s="365">
        <v>250</v>
      </c>
      <c r="D191" s="366">
        <v>78.683999999999997</v>
      </c>
      <c r="E191" s="366">
        <v>67.77</v>
      </c>
      <c r="F191" s="366">
        <f t="shared" si="34"/>
        <v>-2728.5000000000005</v>
      </c>
      <c r="G191" s="366">
        <f t="shared" si="32"/>
        <v>19671</v>
      </c>
      <c r="H191" s="368">
        <f t="shared" si="33"/>
        <v>-0.13870672563672415</v>
      </c>
      <c r="I191" s="706"/>
      <c r="J191" s="365"/>
      <c r="K191" s="365"/>
      <c r="L191" s="365"/>
    </row>
    <row r="192" spans="1:12" x14ac:dyDescent="0.25">
      <c r="A192" s="365">
        <v>250</v>
      </c>
      <c r="B192" s="364">
        <v>42809</v>
      </c>
      <c r="C192" s="365">
        <v>250</v>
      </c>
      <c r="D192" s="366">
        <v>78.683999999999997</v>
      </c>
      <c r="E192" s="366">
        <v>68.47</v>
      </c>
      <c r="F192" s="366">
        <f t="shared" si="34"/>
        <v>-2553.4999999999995</v>
      </c>
      <c r="G192" s="366">
        <f t="shared" si="32"/>
        <v>19671</v>
      </c>
      <c r="H192" s="368">
        <f t="shared" si="33"/>
        <v>-0.12981038076356055</v>
      </c>
      <c r="I192" s="706"/>
      <c r="J192" s="365">
        <v>43.23</v>
      </c>
      <c r="K192" s="365"/>
      <c r="L192" s="365"/>
    </row>
    <row r="193" spans="1:12" x14ac:dyDescent="0.25">
      <c r="A193" s="365">
        <v>250</v>
      </c>
      <c r="B193" s="364">
        <v>42819</v>
      </c>
      <c r="C193" s="365">
        <v>250</v>
      </c>
      <c r="D193" s="366">
        <v>78.683999999999997</v>
      </c>
      <c r="E193" s="366">
        <v>67.510000000000005</v>
      </c>
      <c r="F193" s="366">
        <f t="shared" si="34"/>
        <v>-2793.4999999999982</v>
      </c>
      <c r="G193" s="366">
        <f t="shared" si="32"/>
        <v>19671</v>
      </c>
      <c r="H193" s="368">
        <f t="shared" si="33"/>
        <v>-0.14201108230389906</v>
      </c>
      <c r="I193" s="706"/>
      <c r="J193" s="365"/>
      <c r="K193" s="365"/>
      <c r="L193" s="365"/>
    </row>
    <row r="194" spans="1:12" x14ac:dyDescent="0.25">
      <c r="A194" s="365">
        <v>250</v>
      </c>
      <c r="B194" s="364">
        <v>42820</v>
      </c>
      <c r="C194" s="365">
        <v>250</v>
      </c>
      <c r="D194" s="366">
        <v>78.164000000000001</v>
      </c>
      <c r="E194" s="366">
        <v>67.92</v>
      </c>
      <c r="F194" s="366">
        <f t="shared" si="34"/>
        <v>-2561</v>
      </c>
      <c r="G194" s="366">
        <f t="shared" si="32"/>
        <v>19541</v>
      </c>
      <c r="H194" s="368">
        <f t="shared" si="33"/>
        <v>-0.13105777595824164</v>
      </c>
      <c r="I194" s="706" t="s">
        <v>185</v>
      </c>
      <c r="J194" s="365">
        <v>44.78</v>
      </c>
      <c r="K194" s="365"/>
      <c r="L194" s="365"/>
    </row>
    <row r="195" spans="1:12" x14ac:dyDescent="0.25">
      <c r="A195" s="365">
        <v>250</v>
      </c>
      <c r="B195" s="364">
        <v>42821</v>
      </c>
      <c r="C195" s="365">
        <v>250</v>
      </c>
      <c r="D195" s="366">
        <v>78.164000000000001</v>
      </c>
      <c r="E195" s="366">
        <v>66.02</v>
      </c>
      <c r="F195" s="366">
        <f t="shared" si="34"/>
        <v>-3036.0000000000014</v>
      </c>
      <c r="G195" s="366">
        <f t="shared" si="32"/>
        <v>19541</v>
      </c>
      <c r="H195" s="368">
        <f t="shared" si="33"/>
        <v>-0.15536564147177737</v>
      </c>
      <c r="I195" s="706"/>
      <c r="J195" s="365"/>
      <c r="K195" s="365"/>
      <c r="L195" s="365"/>
    </row>
    <row r="196" spans="1:12" x14ac:dyDescent="0.25">
      <c r="A196" s="365">
        <v>250</v>
      </c>
      <c r="B196" s="364">
        <v>42862</v>
      </c>
      <c r="C196" s="365">
        <v>250</v>
      </c>
      <c r="D196" s="366">
        <v>78.164000000000001</v>
      </c>
      <c r="E196" s="366">
        <v>67.8</v>
      </c>
      <c r="F196" s="366">
        <f t="shared" si="34"/>
        <v>-2591.0000000000009</v>
      </c>
      <c r="G196" s="366">
        <f t="shared" si="32"/>
        <v>19541</v>
      </c>
      <c r="H196" s="368">
        <f t="shared" si="33"/>
        <v>-0.13259300956962289</v>
      </c>
      <c r="I196" s="706"/>
      <c r="J196" s="365"/>
      <c r="K196" s="365"/>
      <c r="L196" s="365"/>
    </row>
    <row r="197" spans="1:12" x14ac:dyDescent="0.25">
      <c r="A197" s="365">
        <v>250</v>
      </c>
      <c r="B197" s="364">
        <v>42917</v>
      </c>
      <c r="C197" s="365">
        <v>250</v>
      </c>
      <c r="D197" s="366">
        <v>77.644000000000005</v>
      </c>
      <c r="E197" s="366">
        <v>70.78</v>
      </c>
      <c r="F197" s="366">
        <f t="shared" si="34"/>
        <v>-1716.0000000000011</v>
      </c>
      <c r="G197" s="366">
        <f t="shared" si="32"/>
        <v>19411</v>
      </c>
      <c r="H197" s="368">
        <f t="shared" si="33"/>
        <v>-8.8403482561434293E-2</v>
      </c>
      <c r="I197" s="706"/>
      <c r="J197" s="365"/>
      <c r="K197" s="365"/>
      <c r="L197" s="365"/>
    </row>
    <row r="198" spans="1:12" x14ac:dyDescent="0.25">
      <c r="A198" s="365">
        <v>200</v>
      </c>
      <c r="B198" s="364">
        <v>42940</v>
      </c>
      <c r="C198" s="365">
        <v>200</v>
      </c>
      <c r="D198" s="366">
        <v>78.535399999999996</v>
      </c>
      <c r="E198" s="366">
        <v>74.39</v>
      </c>
      <c r="F198" s="366">
        <f t="shared" si="34"/>
        <v>-829.07999999999902</v>
      </c>
      <c r="G198" s="366">
        <f t="shared" si="32"/>
        <v>15707.08</v>
      </c>
      <c r="H198" s="368">
        <f t="shared" si="33"/>
        <v>-5.2783840153612198E-2</v>
      </c>
      <c r="I198" s="706" t="s">
        <v>720</v>
      </c>
      <c r="J198" s="365"/>
      <c r="K198" s="365"/>
      <c r="L198" s="365"/>
    </row>
    <row r="199" spans="1:12" x14ac:dyDescent="0.25">
      <c r="A199" s="365">
        <v>200</v>
      </c>
      <c r="B199" s="364">
        <v>42947</v>
      </c>
      <c r="C199" s="365">
        <v>200</v>
      </c>
      <c r="D199" s="366">
        <v>78.540000000000006</v>
      </c>
      <c r="E199" s="366">
        <v>76.09</v>
      </c>
      <c r="F199" s="366">
        <f t="shared" si="34"/>
        <v>-490.00000000000057</v>
      </c>
      <c r="G199" s="366">
        <f t="shared" si="32"/>
        <v>15708.000000000002</v>
      </c>
      <c r="H199" s="368">
        <f t="shared" si="33"/>
        <v>-3.1194295900178286E-2</v>
      </c>
      <c r="I199" s="706"/>
      <c r="J199" s="365"/>
      <c r="K199" s="365"/>
      <c r="L199" s="365"/>
    </row>
    <row r="200" spans="1:12" x14ac:dyDescent="0.25">
      <c r="A200" s="365">
        <v>200</v>
      </c>
      <c r="B200" s="364">
        <v>42953</v>
      </c>
      <c r="C200" s="365">
        <v>200</v>
      </c>
      <c r="D200" s="366">
        <v>78.540000000000006</v>
      </c>
      <c r="E200" s="366">
        <v>73.16</v>
      </c>
      <c r="F200" s="366">
        <f t="shared" si="34"/>
        <v>-1076.0000000000018</v>
      </c>
      <c r="G200" s="366">
        <f t="shared" si="32"/>
        <v>15708.000000000002</v>
      </c>
      <c r="H200" s="368">
        <f t="shared" si="33"/>
        <v>-6.8500127323656859E-2</v>
      </c>
      <c r="I200" s="706"/>
      <c r="J200" s="365"/>
      <c r="K200" s="365"/>
      <c r="L200" s="365"/>
    </row>
    <row r="201" spans="1:12" x14ac:dyDescent="0.25">
      <c r="A201" s="365">
        <v>100</v>
      </c>
      <c r="B201" s="364">
        <v>42977</v>
      </c>
      <c r="C201" s="365">
        <v>100</v>
      </c>
      <c r="D201" s="366">
        <v>76.489999999999995</v>
      </c>
      <c r="E201" s="366">
        <v>81.23</v>
      </c>
      <c r="F201" s="366">
        <f t="shared" si="34"/>
        <v>474.00000000000091</v>
      </c>
      <c r="G201" s="366">
        <f t="shared" si="32"/>
        <v>7648.9999999999991</v>
      </c>
      <c r="H201" s="368">
        <f t="shared" si="33"/>
        <v>6.1968884821545424E-2</v>
      </c>
      <c r="I201" s="706" t="s">
        <v>707</v>
      </c>
      <c r="J201" s="365"/>
      <c r="K201" s="365"/>
      <c r="L201" s="365"/>
    </row>
    <row r="202" spans="1:12" x14ac:dyDescent="0.25">
      <c r="A202" s="365">
        <v>50</v>
      </c>
      <c r="B202" s="364">
        <v>42981</v>
      </c>
      <c r="C202" s="365">
        <v>50</v>
      </c>
      <c r="D202" s="366">
        <v>69.81</v>
      </c>
      <c r="E202" s="366">
        <v>83.75</v>
      </c>
      <c r="F202" s="366">
        <f t="shared" si="34"/>
        <v>696.99999999999989</v>
      </c>
      <c r="G202" s="366">
        <f t="shared" si="32"/>
        <v>3490.5</v>
      </c>
      <c r="H202" s="368">
        <f t="shared" si="33"/>
        <v>0.19968485890273596</v>
      </c>
      <c r="I202" s="706"/>
      <c r="J202" s="365"/>
      <c r="K202" s="365"/>
      <c r="L202" s="365"/>
    </row>
    <row r="203" spans="1:12" x14ac:dyDescent="0.25">
      <c r="A203" s="365">
        <v>50</v>
      </c>
      <c r="B203" s="364">
        <v>42983</v>
      </c>
      <c r="C203" s="365">
        <v>100</v>
      </c>
      <c r="D203" s="366">
        <v>75.84</v>
      </c>
      <c r="E203" s="366">
        <v>82.56</v>
      </c>
      <c r="F203" s="366">
        <f t="shared" si="34"/>
        <v>671.99999999999989</v>
      </c>
      <c r="G203" s="366"/>
      <c r="H203" s="368">
        <f t="shared" si="33"/>
        <v>8.8607594936708847E-2</v>
      </c>
      <c r="I203" s="706">
        <v>75</v>
      </c>
      <c r="J203" s="365"/>
      <c r="K203" s="365"/>
      <c r="L203" s="365"/>
    </row>
    <row r="204" spans="1:12" x14ac:dyDescent="0.25">
      <c r="A204" s="365">
        <v>0</v>
      </c>
      <c r="B204" s="364">
        <v>42984</v>
      </c>
      <c r="C204" s="365">
        <v>50</v>
      </c>
      <c r="D204" s="366">
        <v>68.706999999999994</v>
      </c>
      <c r="E204" s="366">
        <v>82.98</v>
      </c>
      <c r="F204" s="366">
        <f t="shared" si="34"/>
        <v>713.65000000000055</v>
      </c>
      <c r="G204" s="366">
        <f t="shared" ref="G204" si="35">D204*C204</f>
        <v>3435.3499999999995</v>
      </c>
      <c r="H204" s="368">
        <f t="shared" si="33"/>
        <v>0.2077372029050899</v>
      </c>
      <c r="I204" s="706"/>
      <c r="J204" s="365"/>
      <c r="K204" s="365"/>
      <c r="L204" s="365"/>
    </row>
    <row r="205" spans="1:12" x14ac:dyDescent="0.25">
      <c r="A205" s="814"/>
      <c r="B205" s="814"/>
      <c r="C205" s="814"/>
      <c r="D205" s="815"/>
      <c r="E205" s="815"/>
      <c r="F205" s="815"/>
      <c r="G205" s="815"/>
      <c r="H205" s="816"/>
      <c r="I205" s="817"/>
      <c r="J205" s="814"/>
      <c r="K205" s="814"/>
      <c r="L205" s="814"/>
    </row>
    <row r="206" spans="1:12" x14ac:dyDescent="0.25">
      <c r="A206" s="814"/>
      <c r="B206" s="814"/>
      <c r="C206" s="814"/>
      <c r="D206" s="815"/>
      <c r="E206" s="815"/>
      <c r="F206" s="815"/>
      <c r="G206" s="815"/>
      <c r="H206" s="816"/>
      <c r="I206" s="817"/>
      <c r="J206" s="814"/>
      <c r="K206" s="814"/>
      <c r="L206" s="814"/>
    </row>
    <row r="207" spans="1:12" x14ac:dyDescent="0.25">
      <c r="A207" s="814"/>
      <c r="B207" s="818">
        <v>42984</v>
      </c>
      <c r="C207" s="814">
        <v>50</v>
      </c>
      <c r="D207" s="815">
        <v>81.88</v>
      </c>
      <c r="E207" s="815">
        <v>82.66</v>
      </c>
      <c r="F207" s="815">
        <f t="shared" ref="F207:F225" si="36">C207*(E207-D207)</f>
        <v>39.000000000000057</v>
      </c>
      <c r="G207" s="815">
        <f t="shared" ref="G207:G225" si="37">D207*C207</f>
        <v>4094</v>
      </c>
      <c r="H207" s="819">
        <f t="shared" ref="H207:H225" si="38">(E207-D207)/D207</f>
        <v>9.5261358085002579E-3</v>
      </c>
      <c r="I207" s="820"/>
      <c r="J207" s="814"/>
      <c r="K207" s="814"/>
      <c r="L207" s="814"/>
    </row>
    <row r="208" spans="1:12" x14ac:dyDescent="0.25">
      <c r="A208" s="814"/>
      <c r="B208" s="818">
        <v>42988</v>
      </c>
      <c r="C208" s="814">
        <v>50</v>
      </c>
      <c r="D208" s="815">
        <v>81.88</v>
      </c>
      <c r="E208" s="815">
        <v>85.1</v>
      </c>
      <c r="F208" s="815">
        <f t="shared" si="36"/>
        <v>160.99999999999994</v>
      </c>
      <c r="G208" s="815">
        <f t="shared" si="37"/>
        <v>4094</v>
      </c>
      <c r="H208" s="819">
        <f t="shared" si="38"/>
        <v>3.9325842696629199E-2</v>
      </c>
      <c r="I208" s="817"/>
      <c r="J208" s="814"/>
      <c r="K208" s="814"/>
      <c r="L208" s="814"/>
    </row>
    <row r="209" spans="1:12" x14ac:dyDescent="0.25">
      <c r="A209" s="814"/>
      <c r="B209" s="818">
        <v>42992</v>
      </c>
      <c r="C209" s="814">
        <v>100</v>
      </c>
      <c r="D209" s="815">
        <v>81.844999999999999</v>
      </c>
      <c r="E209" s="815">
        <v>82.28</v>
      </c>
      <c r="F209" s="815">
        <f t="shared" si="36"/>
        <v>43.500000000000227</v>
      </c>
      <c r="G209" s="815">
        <f t="shared" si="37"/>
        <v>8184.5</v>
      </c>
      <c r="H209" s="819">
        <f t="shared" si="38"/>
        <v>5.3149245525078168E-3</v>
      </c>
      <c r="I209" s="817"/>
      <c r="J209" s="814"/>
      <c r="K209" s="814"/>
      <c r="L209" s="814"/>
    </row>
    <row r="210" spans="1:12" x14ac:dyDescent="0.25">
      <c r="A210" s="814">
        <v>0</v>
      </c>
      <c r="B210" s="818">
        <v>43018</v>
      </c>
      <c r="C210" s="814">
        <v>50</v>
      </c>
      <c r="D210" s="815">
        <v>80.102000000000004</v>
      </c>
      <c r="E210" s="815">
        <v>81.98</v>
      </c>
      <c r="F210" s="815">
        <f t="shared" si="36"/>
        <v>93.9</v>
      </c>
      <c r="G210" s="815">
        <f t="shared" si="37"/>
        <v>4005.1000000000004</v>
      </c>
      <c r="H210" s="819">
        <f t="shared" si="38"/>
        <v>2.3445107487952862E-2</v>
      </c>
      <c r="I210" s="815">
        <v>75.5</v>
      </c>
      <c r="J210" s="814"/>
      <c r="K210" s="815">
        <v>805.57</v>
      </c>
      <c r="L210" s="814"/>
    </row>
    <row r="211" spans="1:12" x14ac:dyDescent="0.25">
      <c r="A211" s="814">
        <v>0</v>
      </c>
      <c r="B211" s="818">
        <v>43020</v>
      </c>
      <c r="C211" s="814">
        <v>100</v>
      </c>
      <c r="D211" s="815">
        <v>80.891000000000005</v>
      </c>
      <c r="E211" s="815">
        <v>81.680000000000007</v>
      </c>
      <c r="F211" s="815">
        <f t="shared" si="36"/>
        <v>78.900000000000148</v>
      </c>
      <c r="G211" s="815">
        <f t="shared" si="37"/>
        <v>8089.1</v>
      </c>
      <c r="H211" s="816">
        <f t="shared" si="38"/>
        <v>9.7538663139286382E-3</v>
      </c>
      <c r="I211" s="815">
        <v>80</v>
      </c>
      <c r="J211" s="814"/>
      <c r="K211" s="815">
        <v>757</v>
      </c>
      <c r="L211" s="814"/>
    </row>
    <row r="212" spans="1:12" x14ac:dyDescent="0.25">
      <c r="A212" s="814">
        <v>50</v>
      </c>
      <c r="B212" s="818">
        <v>43035</v>
      </c>
      <c r="C212" s="814">
        <v>150</v>
      </c>
      <c r="D212" s="815">
        <v>78.554000000000002</v>
      </c>
      <c r="E212" s="815">
        <v>73.28</v>
      </c>
      <c r="F212" s="815">
        <f t="shared" si="36"/>
        <v>-791.10000000000014</v>
      </c>
      <c r="G212" s="815">
        <f t="shared" si="37"/>
        <v>11783.1</v>
      </c>
      <c r="H212" s="816">
        <f t="shared" si="38"/>
        <v>-6.713852891004915E-2</v>
      </c>
      <c r="I212" s="817"/>
      <c r="J212" s="814"/>
      <c r="K212" s="815">
        <v>-132</v>
      </c>
      <c r="L212" s="814"/>
    </row>
    <row r="213" spans="1:12" x14ac:dyDescent="0.25">
      <c r="A213" s="814"/>
      <c r="B213" s="818">
        <v>43035</v>
      </c>
      <c r="C213" s="814">
        <v>100</v>
      </c>
      <c r="D213" s="815">
        <v>79.691900000000004</v>
      </c>
      <c r="E213" s="815">
        <v>76.28</v>
      </c>
      <c r="F213" s="815">
        <f t="shared" si="36"/>
        <v>-341.19000000000028</v>
      </c>
      <c r="G213" s="815">
        <f t="shared" si="37"/>
        <v>7969.1900000000005</v>
      </c>
      <c r="H213" s="816">
        <f t="shared" si="38"/>
        <v>-4.2813636015705522E-2</v>
      </c>
      <c r="I213" s="821" t="s">
        <v>773</v>
      </c>
      <c r="J213" s="814"/>
      <c r="K213" s="815">
        <v>317</v>
      </c>
      <c r="L213" s="814"/>
    </row>
    <row r="214" spans="1:12" x14ac:dyDescent="0.25">
      <c r="A214" s="814"/>
      <c r="B214" s="818">
        <v>43044</v>
      </c>
      <c r="C214" s="814">
        <v>100</v>
      </c>
      <c r="D214" s="815">
        <v>79.69</v>
      </c>
      <c r="E214" s="815">
        <v>73.459999999999994</v>
      </c>
      <c r="F214" s="815">
        <f t="shared" si="36"/>
        <v>-623.00000000000045</v>
      </c>
      <c r="G214" s="815">
        <f t="shared" si="37"/>
        <v>7969</v>
      </c>
      <c r="H214" s="816">
        <f t="shared" si="38"/>
        <v>-7.8177939515623088E-2</v>
      </c>
      <c r="I214" s="817"/>
      <c r="J214" s="814">
        <v>23.71</v>
      </c>
      <c r="K214" s="815">
        <v>35</v>
      </c>
      <c r="L214" s="814"/>
    </row>
    <row r="215" spans="1:12" x14ac:dyDescent="0.25">
      <c r="A215" s="822">
        <v>50</v>
      </c>
      <c r="B215" s="818">
        <v>43053</v>
      </c>
      <c r="C215" s="814">
        <v>150</v>
      </c>
      <c r="D215" s="815">
        <v>76.989999999999995</v>
      </c>
      <c r="E215" s="815">
        <v>71.150000000000006</v>
      </c>
      <c r="F215" s="815">
        <f t="shared" si="36"/>
        <v>-875.99999999999841</v>
      </c>
      <c r="G215" s="815">
        <f t="shared" si="37"/>
        <v>11548.5</v>
      </c>
      <c r="H215" s="816">
        <f t="shared" si="38"/>
        <v>-7.5854007013897773E-2</v>
      </c>
      <c r="I215" s="815">
        <v>76.5</v>
      </c>
      <c r="J215" s="814"/>
      <c r="K215" s="815">
        <v>-217</v>
      </c>
      <c r="L215" s="814"/>
    </row>
    <row r="216" spans="1:12" x14ac:dyDescent="0.25">
      <c r="A216" s="822">
        <v>50</v>
      </c>
      <c r="B216" s="818">
        <v>43068</v>
      </c>
      <c r="C216" s="814">
        <v>100</v>
      </c>
      <c r="D216" s="815">
        <v>78.392799999999994</v>
      </c>
      <c r="E216" s="815">
        <v>73.67</v>
      </c>
      <c r="F216" s="815">
        <f t="shared" si="36"/>
        <v>-472.27999999999923</v>
      </c>
      <c r="G216" s="815">
        <f t="shared" si="37"/>
        <v>7839.28</v>
      </c>
      <c r="H216" s="816">
        <f t="shared" si="38"/>
        <v>-6.0245328652631269E-2</v>
      </c>
      <c r="I216" s="821" t="s">
        <v>783</v>
      </c>
      <c r="J216" s="814"/>
      <c r="K216" s="815">
        <v>186</v>
      </c>
      <c r="L216" s="814"/>
    </row>
    <row r="217" spans="1:12" x14ac:dyDescent="0.25">
      <c r="A217" s="822">
        <v>100</v>
      </c>
      <c r="B217" s="818">
        <v>43090</v>
      </c>
      <c r="C217" s="814">
        <v>150</v>
      </c>
      <c r="D217" s="815">
        <v>76.688500000000005</v>
      </c>
      <c r="E217" s="815">
        <v>73.02</v>
      </c>
      <c r="F217" s="815">
        <f t="shared" si="36"/>
        <v>-550.27500000000134</v>
      </c>
      <c r="G217" s="815">
        <f t="shared" si="37"/>
        <v>11503.275000000001</v>
      </c>
      <c r="H217" s="816">
        <f t="shared" si="38"/>
        <v>-4.7836377031758456E-2</v>
      </c>
      <c r="I217" s="817"/>
      <c r="J217" s="814">
        <v>43.77</v>
      </c>
      <c r="K217" s="815">
        <v>108</v>
      </c>
      <c r="L217" s="814"/>
    </row>
    <row r="218" spans="1:12" x14ac:dyDescent="0.25">
      <c r="A218" s="822">
        <v>100</v>
      </c>
      <c r="B218" s="818">
        <v>43098</v>
      </c>
      <c r="C218" s="814">
        <v>150</v>
      </c>
      <c r="D218" s="815">
        <v>76.341999999999999</v>
      </c>
      <c r="E218" s="815">
        <v>72</v>
      </c>
      <c r="F218" s="815">
        <f t="shared" si="36"/>
        <v>-651.29999999999984</v>
      </c>
      <c r="G218" s="815">
        <f t="shared" si="37"/>
        <v>11451.3</v>
      </c>
      <c r="H218" s="816">
        <f t="shared" si="38"/>
        <v>-5.6875638573786365E-2</v>
      </c>
      <c r="I218" s="817" t="s">
        <v>840</v>
      </c>
      <c r="J218" s="814"/>
      <c r="K218" s="815">
        <v>7</v>
      </c>
      <c r="L218" s="814"/>
    </row>
    <row r="219" spans="1:12" x14ac:dyDescent="0.25">
      <c r="A219" s="822">
        <v>100</v>
      </c>
      <c r="B219" s="818">
        <v>43098</v>
      </c>
      <c r="C219" s="814">
        <v>200</v>
      </c>
      <c r="D219" s="815">
        <v>75.17</v>
      </c>
      <c r="E219" s="815">
        <v>71.64</v>
      </c>
      <c r="F219" s="815">
        <f t="shared" si="36"/>
        <v>-706.00000000000023</v>
      </c>
      <c r="G219" s="815">
        <f t="shared" si="37"/>
        <v>15034</v>
      </c>
      <c r="H219" s="816">
        <f t="shared" si="38"/>
        <v>-4.6960223493414943E-2</v>
      </c>
      <c r="I219" s="821">
        <v>75</v>
      </c>
      <c r="J219" s="814"/>
      <c r="K219" s="815">
        <v>-47</v>
      </c>
      <c r="L219" s="814"/>
    </row>
    <row r="220" spans="1:12" x14ac:dyDescent="0.25">
      <c r="A220" s="822">
        <v>50</v>
      </c>
      <c r="B220" s="818">
        <v>43102</v>
      </c>
      <c r="C220" s="814">
        <v>150</v>
      </c>
      <c r="D220" s="815">
        <v>75.698999999999998</v>
      </c>
      <c r="E220" s="815">
        <v>74.099999999999994</v>
      </c>
      <c r="F220" s="815">
        <f t="shared" si="36"/>
        <v>-239.85000000000056</v>
      </c>
      <c r="G220" s="815">
        <f t="shared" si="37"/>
        <v>11354.85</v>
      </c>
      <c r="H220" s="819">
        <f t="shared" si="38"/>
        <v>-2.1123132405976353E-2</v>
      </c>
      <c r="I220" s="821" t="s">
        <v>845</v>
      </c>
      <c r="J220" s="814"/>
      <c r="K220" s="815">
        <v>419</v>
      </c>
      <c r="L220" s="814"/>
    </row>
    <row r="221" spans="1:12" x14ac:dyDescent="0.25">
      <c r="A221" s="822">
        <v>0</v>
      </c>
      <c r="B221" s="818">
        <v>43105</v>
      </c>
      <c r="C221" s="814">
        <v>100</v>
      </c>
      <c r="D221" s="815">
        <v>76.293999999999997</v>
      </c>
      <c r="E221" s="815">
        <v>74.52</v>
      </c>
      <c r="F221" s="815">
        <f t="shared" si="36"/>
        <v>-177.40000000000009</v>
      </c>
      <c r="G221" s="815">
        <f t="shared" si="37"/>
        <v>7629.4</v>
      </c>
      <c r="H221" s="816">
        <f t="shared" si="38"/>
        <v>-2.3252156132854498E-2</v>
      </c>
      <c r="I221" s="821" t="s">
        <v>872</v>
      </c>
      <c r="J221" s="814"/>
      <c r="K221" s="815">
        <v>481</v>
      </c>
      <c r="L221" s="814"/>
    </row>
    <row r="222" spans="1:12" x14ac:dyDescent="0.25">
      <c r="A222" s="822">
        <v>0</v>
      </c>
      <c r="B222" s="818">
        <v>43109</v>
      </c>
      <c r="C222" s="814">
        <v>100</v>
      </c>
      <c r="D222" s="815">
        <v>76.290000000000006</v>
      </c>
      <c r="E222" s="815">
        <v>78.099999999999994</v>
      </c>
      <c r="F222" s="815">
        <f t="shared" si="36"/>
        <v>180.99999999999881</v>
      </c>
      <c r="G222" s="815">
        <f t="shared" si="37"/>
        <v>7629.0000000000009</v>
      </c>
      <c r="H222" s="816">
        <f t="shared" si="38"/>
        <v>2.3725258880587075E-2</v>
      </c>
      <c r="I222" s="817"/>
      <c r="J222" s="814"/>
      <c r="K222" s="815">
        <v>839</v>
      </c>
      <c r="L222" s="814"/>
    </row>
    <row r="223" spans="1:12" x14ac:dyDescent="0.25">
      <c r="A223" s="822">
        <v>0</v>
      </c>
      <c r="B223" s="818">
        <v>43110</v>
      </c>
      <c r="C223" s="814">
        <v>100</v>
      </c>
      <c r="D223" s="815">
        <v>76.290000000000006</v>
      </c>
      <c r="E223" s="815">
        <v>78.709999999999994</v>
      </c>
      <c r="F223" s="815">
        <f t="shared" si="36"/>
        <v>241.99999999999875</v>
      </c>
      <c r="G223" s="815">
        <f t="shared" si="37"/>
        <v>7629.0000000000009</v>
      </c>
      <c r="H223" s="816">
        <f t="shared" si="38"/>
        <v>3.1721064359680001E-2</v>
      </c>
      <c r="I223" s="821">
        <v>76</v>
      </c>
      <c r="J223" s="821">
        <v>67.739999999999995</v>
      </c>
      <c r="K223" s="815">
        <v>900.23</v>
      </c>
      <c r="L223" s="814"/>
    </row>
    <row r="224" spans="1:12" x14ac:dyDescent="0.25">
      <c r="A224" s="822">
        <v>0</v>
      </c>
      <c r="B224" s="818">
        <v>43117</v>
      </c>
      <c r="C224" s="814">
        <v>100</v>
      </c>
      <c r="D224" s="815">
        <v>76.290000000000006</v>
      </c>
      <c r="E224" s="815">
        <v>81.739999999999995</v>
      </c>
      <c r="F224" s="815">
        <f t="shared" si="36"/>
        <v>544.99999999999886</v>
      </c>
      <c r="G224" s="815">
        <f t="shared" si="37"/>
        <v>7629.0000000000009</v>
      </c>
      <c r="H224" s="816">
        <f t="shared" si="38"/>
        <v>7.143793419845311E-2</v>
      </c>
      <c r="I224" s="821">
        <v>76</v>
      </c>
      <c r="J224" s="821"/>
      <c r="K224" s="815">
        <v>1203</v>
      </c>
      <c r="L224" s="814"/>
    </row>
    <row r="225" spans="1:12" x14ac:dyDescent="0.25">
      <c r="A225" s="822">
        <v>0</v>
      </c>
      <c r="B225" s="818">
        <v>43126</v>
      </c>
      <c r="C225" s="814">
        <v>50</v>
      </c>
      <c r="D225" s="815">
        <v>68.62</v>
      </c>
      <c r="E225" s="815">
        <v>83.97</v>
      </c>
      <c r="F225" s="815">
        <f t="shared" si="36"/>
        <v>767.49999999999977</v>
      </c>
      <c r="G225" s="815">
        <f t="shared" si="37"/>
        <v>3431</v>
      </c>
      <c r="H225" s="816">
        <f t="shared" si="38"/>
        <v>0.22369571553482939</v>
      </c>
      <c r="I225" s="817"/>
      <c r="J225" s="814"/>
      <c r="K225" s="815">
        <v>1426</v>
      </c>
      <c r="L225" s="814"/>
    </row>
    <row r="226" spans="1:12" x14ac:dyDescent="0.25">
      <c r="A226" s="814"/>
      <c r="B226" s="814"/>
      <c r="C226" s="814"/>
      <c r="D226" s="815"/>
      <c r="E226" s="815"/>
      <c r="F226" s="815"/>
      <c r="G226" s="814"/>
      <c r="H226" s="814"/>
      <c r="I226" s="814"/>
      <c r="J226" s="814"/>
      <c r="K226" s="814"/>
      <c r="L226" s="814"/>
    </row>
    <row r="227" spans="1:12" x14ac:dyDescent="0.25">
      <c r="A227" s="814"/>
      <c r="B227" s="814"/>
      <c r="C227" s="814"/>
      <c r="D227" s="815"/>
      <c r="E227" s="815"/>
      <c r="F227" s="815"/>
      <c r="G227" s="814"/>
      <c r="H227" s="814"/>
      <c r="I227" s="814"/>
      <c r="J227" s="814"/>
      <c r="K227" s="814"/>
      <c r="L227" s="814"/>
    </row>
    <row r="228" spans="1:12" x14ac:dyDescent="0.25">
      <c r="A228" s="814"/>
      <c r="B228" s="814"/>
      <c r="C228" s="814"/>
      <c r="D228" s="815"/>
      <c r="E228" s="815"/>
      <c r="F228" s="815"/>
      <c r="G228" s="814"/>
      <c r="H228" s="814"/>
      <c r="I228" s="814"/>
      <c r="J228" s="814"/>
      <c r="K228" s="814"/>
      <c r="L228" s="814"/>
    </row>
    <row r="229" spans="1:12" x14ac:dyDescent="0.25">
      <c r="A229" s="814"/>
      <c r="B229" s="814"/>
      <c r="C229" s="814"/>
      <c r="D229" s="815"/>
      <c r="E229" s="815"/>
      <c r="F229" s="815"/>
      <c r="G229" s="814"/>
      <c r="H229" s="814"/>
      <c r="I229" s="814"/>
      <c r="J229" s="814"/>
      <c r="K229" s="814"/>
      <c r="L229" s="814"/>
    </row>
    <row r="230" spans="1:12" x14ac:dyDescent="0.25">
      <c r="A230" s="814"/>
      <c r="B230" s="814"/>
      <c r="C230" s="814"/>
      <c r="D230" s="815"/>
      <c r="E230" s="815"/>
      <c r="F230" s="815"/>
      <c r="G230" s="814"/>
      <c r="H230" s="814"/>
      <c r="I230" s="814"/>
      <c r="J230" s="814"/>
      <c r="K230" s="814"/>
      <c r="L230" s="814"/>
    </row>
    <row r="231" spans="1:12" x14ac:dyDescent="0.25">
      <c r="A231" s="814"/>
      <c r="B231" s="814"/>
      <c r="C231" s="814"/>
      <c r="D231" s="815"/>
      <c r="E231" s="815"/>
      <c r="F231" s="815"/>
      <c r="G231" s="814"/>
      <c r="H231" s="814"/>
      <c r="I231" s="814"/>
      <c r="J231" s="814"/>
      <c r="K231" s="814"/>
      <c r="L231" s="814"/>
    </row>
    <row r="232" spans="1:12" x14ac:dyDescent="0.25">
      <c r="A232" s="814"/>
      <c r="B232" s="814"/>
      <c r="C232" s="814"/>
      <c r="D232" s="815"/>
      <c r="E232" s="815"/>
      <c r="F232" s="815"/>
      <c r="G232" s="814"/>
      <c r="H232" s="814"/>
      <c r="I232" s="814"/>
      <c r="J232" s="814"/>
      <c r="K232" s="814"/>
      <c r="L232" s="81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78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4" t="s">
        <v>53</v>
      </c>
      <c r="B35" s="364">
        <v>42214</v>
      </c>
      <c r="C35" s="365">
        <v>15</v>
      </c>
      <c r="D35" s="366">
        <v>47.8</v>
      </c>
      <c r="E35" s="366">
        <v>0</v>
      </c>
      <c r="F35" s="366">
        <f>C35*D35</f>
        <v>717</v>
      </c>
      <c r="G35" s="364">
        <v>42313</v>
      </c>
      <c r="H35" s="366">
        <v>70</v>
      </c>
      <c r="I35" s="366">
        <v>46.15</v>
      </c>
      <c r="J35" s="366">
        <v>0.06</v>
      </c>
      <c r="K35" s="365">
        <f>I35*H35-J35</f>
        <v>3230.44</v>
      </c>
      <c r="L35" s="364">
        <v>42247</v>
      </c>
      <c r="M35" s="36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5" t="s">
        <v>71</v>
      </c>
      <c r="B36" s="364">
        <v>42233</v>
      </c>
      <c r="C36" s="365">
        <v>20</v>
      </c>
      <c r="D36" s="366">
        <v>47.5</v>
      </c>
      <c r="E36" s="366">
        <v>0</v>
      </c>
      <c r="F36" s="366">
        <f>C36*D36</f>
        <v>950</v>
      </c>
      <c r="G36" s="365"/>
      <c r="H36" s="365"/>
      <c r="I36" s="365"/>
      <c r="J36" s="365"/>
      <c r="K36" s="365"/>
      <c r="L36" s="364">
        <v>42338</v>
      </c>
      <c r="M36" s="36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5"/>
      <c r="B37" s="364">
        <v>42269</v>
      </c>
      <c r="C37" s="365">
        <v>35</v>
      </c>
      <c r="D37" s="366">
        <v>43.8</v>
      </c>
      <c r="E37" s="366">
        <v>0</v>
      </c>
      <c r="F37" s="366">
        <f>C37*D37</f>
        <v>1533</v>
      </c>
      <c r="G37" s="365"/>
      <c r="H37" s="365"/>
      <c r="I37" s="365"/>
      <c r="J37" s="365"/>
      <c r="K37" s="365"/>
      <c r="L37" s="365"/>
      <c r="M37" s="365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47" t="s">
        <v>78</v>
      </c>
      <c r="P42" s="84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5"/>
      <c r="J52" s="365"/>
      <c r="K52" s="365"/>
      <c r="L52" s="365"/>
      <c r="M52" s="365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5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7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5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7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1013</v>
      </c>
    </row>
    <row r="4" spans="1:22" x14ac:dyDescent="0.25">
      <c r="B4" s="437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7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44.799900000000001</v>
      </c>
      <c r="R4" s="478">
        <v>4.8999999999999998E-3</v>
      </c>
    </row>
    <row r="5" spans="1:22" x14ac:dyDescent="0.25">
      <c r="B5" s="437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7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6719.9850000000006</v>
      </c>
    </row>
    <row r="6" spans="1:22" x14ac:dyDescent="0.25">
      <c r="B6" s="437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7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37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7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-1156.5249999999987</v>
      </c>
      <c r="R7">
        <v>100</v>
      </c>
    </row>
    <row r="8" spans="1:22" x14ac:dyDescent="0.25">
      <c r="B8" s="437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7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-1206.4749999999985</v>
      </c>
    </row>
    <row r="9" spans="1:22" x14ac:dyDescent="0.25">
      <c r="B9" s="437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7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-0.15220855211531989</v>
      </c>
    </row>
    <row r="10" spans="1:22" x14ac:dyDescent="0.25">
      <c r="B10" s="437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7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7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4.3750097656467979E-2</v>
      </c>
      <c r="R11">
        <v>0.49</v>
      </c>
    </row>
    <row r="12" spans="1:22" x14ac:dyDescent="0.25">
      <c r="B12" s="437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968</v>
      </c>
    </row>
    <row r="13" spans="1:22" x14ac:dyDescent="0.25">
      <c r="B13" s="437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997</v>
      </c>
      <c r="Q13">
        <f>Q4/3.08</f>
        <v>14.545422077922078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477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7" t="s">
        <v>78</v>
      </c>
      <c r="P17" s="847"/>
    </row>
    <row r="18" spans="1:16" ht="15.75" thickTop="1" x14ac:dyDescent="0.25">
      <c r="H18" s="70"/>
      <c r="O18" s="81">
        <v>1.1000000000000001</v>
      </c>
      <c r="P18" s="81">
        <f>O18*$Q$4</f>
        <v>49.279890000000002</v>
      </c>
    </row>
    <row r="19" spans="1:16" x14ac:dyDescent="0.25">
      <c r="H19" s="70"/>
      <c r="O19" s="81">
        <v>1.0900000000000001</v>
      </c>
      <c r="P19" s="81">
        <f t="shared" ref="P19:P38" si="2">O19*$Q$4</f>
        <v>48.831891000000006</v>
      </c>
    </row>
    <row r="20" spans="1:16" x14ac:dyDescent="0.25">
      <c r="H20" s="70"/>
      <c r="O20" s="81">
        <v>1.08</v>
      </c>
      <c r="P20" s="81">
        <f t="shared" si="2"/>
        <v>48.383892000000003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47.935893000000007</v>
      </c>
    </row>
    <row r="22" spans="1:16" ht="15.75" thickBot="1" x14ac:dyDescent="0.3">
      <c r="A22" s="344" t="s">
        <v>194</v>
      </c>
      <c r="B22" s="482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47.487894000000004</v>
      </c>
    </row>
    <row r="23" spans="1:16" x14ac:dyDescent="0.25">
      <c r="O23" s="81">
        <v>1.05</v>
      </c>
      <c r="P23" s="81">
        <f t="shared" si="2"/>
        <v>47.039895000000001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997</v>
      </c>
      <c r="O24" s="81">
        <v>1.04</v>
      </c>
      <c r="P24" s="81">
        <f t="shared" si="2"/>
        <v>46.591896000000006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46.143897000000003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45.695898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45.247899000000004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44.799900000000001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44.351900999999998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43.903902000000002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43.455902999999999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43.007903999999996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42.559905000000001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42.111905999999998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41.663907000000002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41.215908000000006</v>
      </c>
    </row>
    <row r="37" spans="1:17" x14ac:dyDescent="0.25">
      <c r="A37" t="s">
        <v>349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40.767909000000003</v>
      </c>
    </row>
    <row r="38" spans="1:17" x14ac:dyDescent="0.25">
      <c r="A38" t="s">
        <v>438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40.31991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28">
        <v>200</v>
      </c>
      <c r="D44" s="429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28">
        <v>200</v>
      </c>
      <c r="D48" s="42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28">
        <v>200</v>
      </c>
      <c r="D52" s="42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771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28">
        <v>200</v>
      </c>
      <c r="D54" s="429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785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979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1" t="s">
        <v>1</v>
      </c>
      <c r="B72" s="371" t="s">
        <v>2</v>
      </c>
      <c r="C72" s="371" t="s">
        <v>4</v>
      </c>
      <c r="D72" s="373" t="s">
        <v>5</v>
      </c>
      <c r="E72" s="373" t="s">
        <v>94</v>
      </c>
      <c r="F72" s="373" t="s">
        <v>60</v>
      </c>
      <c r="G72" s="371" t="s">
        <v>3</v>
      </c>
      <c r="H72" s="371" t="s">
        <v>6</v>
      </c>
      <c r="I72" s="371" t="s">
        <v>7</v>
      </c>
      <c r="J72" s="371" t="s">
        <v>95</v>
      </c>
      <c r="K72" s="371" t="s">
        <v>61</v>
      </c>
      <c r="L72" s="371" t="s">
        <v>77</v>
      </c>
      <c r="M72" s="371" t="s">
        <v>38</v>
      </c>
    </row>
    <row r="73" spans="1:13" x14ac:dyDescent="0.25">
      <c r="A73" s="374" t="s">
        <v>171</v>
      </c>
      <c r="B73" s="376">
        <v>42376</v>
      </c>
      <c r="C73" s="365">
        <v>50</v>
      </c>
      <c r="D73" s="366">
        <v>55.15</v>
      </c>
      <c r="E73" s="366">
        <v>0</v>
      </c>
      <c r="F73" s="366">
        <f>C73*D73+E73</f>
        <v>2757.5</v>
      </c>
      <c r="G73" s="364">
        <v>42409</v>
      </c>
      <c r="H73" s="369">
        <v>50</v>
      </c>
      <c r="I73" s="366">
        <v>56.15</v>
      </c>
      <c r="J73" s="366">
        <v>0.05</v>
      </c>
      <c r="K73" s="365">
        <f>H73*I73-J73</f>
        <v>2807.45</v>
      </c>
      <c r="L73" s="364"/>
      <c r="M73" s="366"/>
    </row>
    <row r="74" spans="1:13" x14ac:dyDescent="0.25">
      <c r="A74" s="375" t="s">
        <v>71</v>
      </c>
      <c r="B74" s="376"/>
      <c r="C74" s="365"/>
      <c r="D74" s="366"/>
      <c r="E74" s="366"/>
      <c r="F74" s="366"/>
      <c r="G74" s="364"/>
      <c r="H74" s="365"/>
      <c r="I74" s="365"/>
      <c r="J74" s="365"/>
      <c r="K74" s="365"/>
      <c r="L74" s="365"/>
      <c r="M74" s="365"/>
    </row>
    <row r="75" spans="1:13" x14ac:dyDescent="0.25">
      <c r="A75" s="365"/>
      <c r="B75" s="364"/>
      <c r="C75" s="365"/>
      <c r="D75" s="366"/>
      <c r="E75" s="366"/>
      <c r="F75" s="366"/>
      <c r="G75" s="365"/>
      <c r="H75" s="365"/>
      <c r="I75" s="365"/>
      <c r="J75" s="365"/>
      <c r="K75" s="365"/>
      <c r="L75" s="365"/>
      <c r="M75" s="365"/>
    </row>
    <row r="76" spans="1:13" x14ac:dyDescent="0.25">
      <c r="A76" s="365"/>
      <c r="B76" s="364"/>
      <c r="C76" s="365"/>
      <c r="D76" s="366"/>
      <c r="E76" s="366"/>
      <c r="F76" s="366"/>
      <c r="G76" s="365"/>
      <c r="H76" s="365"/>
      <c r="I76" s="365"/>
      <c r="J76" s="365"/>
      <c r="K76" s="365"/>
      <c r="L76" s="365"/>
      <c r="M76" s="365"/>
    </row>
    <row r="77" spans="1:13" x14ac:dyDescent="0.25">
      <c r="A77" s="365"/>
      <c r="B77" s="365"/>
      <c r="C77" s="365"/>
      <c r="D77" s="366"/>
      <c r="E77" s="366"/>
      <c r="F77" s="366"/>
      <c r="G77" s="365"/>
      <c r="H77" s="365"/>
      <c r="I77" s="365"/>
      <c r="J77" s="365"/>
      <c r="K77" s="365"/>
      <c r="L77" s="365"/>
      <c r="M77" s="365"/>
    </row>
    <row r="78" spans="1:13" x14ac:dyDescent="0.25">
      <c r="A78" s="365"/>
      <c r="B78" s="365"/>
      <c r="C78" s="365"/>
      <c r="D78" s="366"/>
      <c r="E78" s="366"/>
      <c r="F78" s="366"/>
      <c r="G78" s="365"/>
      <c r="H78" s="365"/>
      <c r="I78" s="365"/>
      <c r="J78" s="365"/>
      <c r="K78" s="365"/>
      <c r="L78" s="365"/>
      <c r="M78" s="365"/>
    </row>
    <row r="79" spans="1:13" x14ac:dyDescent="0.25">
      <c r="A79" s="365"/>
      <c r="B79" s="365"/>
      <c r="C79" s="365"/>
      <c r="D79" s="366"/>
      <c r="E79" s="366"/>
      <c r="F79" s="366"/>
      <c r="G79" s="365"/>
      <c r="H79" s="365"/>
      <c r="I79" s="365"/>
      <c r="J79" s="365"/>
      <c r="K79" s="365"/>
      <c r="L79" s="365"/>
      <c r="M79" s="365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5"/>
      <c r="B81" s="365"/>
      <c r="C81" s="365"/>
      <c r="D81" s="366"/>
      <c r="E81" s="366"/>
      <c r="F81" s="366"/>
      <c r="G81" s="365"/>
      <c r="H81" s="365"/>
      <c r="I81" s="365"/>
      <c r="J81" s="365"/>
      <c r="K81" s="365"/>
      <c r="L81" s="365"/>
      <c r="M81" s="365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5:K67 K63:K64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 H64">
    <cfRule type="expression" dxfId="53" priority="7">
      <formula>F64&gt;0</formula>
    </cfRule>
    <cfRule type="expression" dxfId="52" priority="8">
      <formula>F64&lt;0</formula>
    </cfRule>
  </conditionalFormatting>
  <conditionalFormatting sqref="J64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78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1" t="s">
        <v>1</v>
      </c>
      <c r="B30" s="371" t="s">
        <v>2</v>
      </c>
      <c r="C30" s="371" t="s">
        <v>4</v>
      </c>
      <c r="D30" s="373" t="s">
        <v>5</v>
      </c>
      <c r="E30" s="373"/>
      <c r="F30" s="373" t="s">
        <v>60</v>
      </c>
      <c r="G30" s="371" t="s">
        <v>3</v>
      </c>
      <c r="H30" s="371" t="s">
        <v>6</v>
      </c>
      <c r="I30" s="371" t="s">
        <v>7</v>
      </c>
      <c r="J30" s="371"/>
      <c r="K30" s="371" t="s">
        <v>61</v>
      </c>
      <c r="L30" s="371" t="s">
        <v>77</v>
      </c>
      <c r="M30" s="37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4" t="s">
        <v>56</v>
      </c>
      <c r="B31" s="854">
        <v>42220</v>
      </c>
      <c r="C31" s="365">
        <v>40</v>
      </c>
      <c r="D31" s="366">
        <v>31.78</v>
      </c>
      <c r="E31" s="366"/>
      <c r="F31" s="366">
        <f>C31*D31</f>
        <v>1271.2</v>
      </c>
      <c r="G31" s="364">
        <v>42235</v>
      </c>
      <c r="H31" s="365">
        <v>100</v>
      </c>
      <c r="I31" s="366">
        <v>31.5</v>
      </c>
      <c r="J31" s="365">
        <v>0.06</v>
      </c>
      <c r="K31" s="365">
        <f>H31*I31-J31</f>
        <v>3149.94</v>
      </c>
      <c r="L31" s="364">
        <v>42276</v>
      </c>
      <c r="M31" s="36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5" t="s">
        <v>71</v>
      </c>
      <c r="B32" s="854"/>
      <c r="C32" s="365">
        <v>60</v>
      </c>
      <c r="D32" s="366">
        <v>31.78</v>
      </c>
      <c r="E32" s="366"/>
      <c r="F32" s="366">
        <f>C32*D32</f>
        <v>1906.8000000000002</v>
      </c>
      <c r="G32" s="364">
        <v>42284</v>
      </c>
      <c r="H32" s="365">
        <v>40</v>
      </c>
      <c r="I32" s="365">
        <v>31.55</v>
      </c>
      <c r="J32" s="365">
        <v>0.02</v>
      </c>
      <c r="K32" s="365">
        <f>H32*I32-J32</f>
        <v>1261.98</v>
      </c>
      <c r="L32" s="365"/>
      <c r="M32" s="36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5"/>
      <c r="B33" s="364">
        <v>42221</v>
      </c>
      <c r="C33" s="365">
        <v>10</v>
      </c>
      <c r="D33" s="366">
        <v>31.45</v>
      </c>
      <c r="E33" s="366"/>
      <c r="F33" s="366">
        <f>C33*D33</f>
        <v>314.5</v>
      </c>
      <c r="G33" s="365"/>
      <c r="H33" s="365"/>
      <c r="I33" s="365"/>
      <c r="J33" s="365"/>
      <c r="K33" s="365"/>
      <c r="L33" s="365"/>
      <c r="M33" s="36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5"/>
      <c r="B34" s="364">
        <v>42233</v>
      </c>
      <c r="C34" s="365">
        <v>30</v>
      </c>
      <c r="D34" s="366">
        <v>29.9</v>
      </c>
      <c r="E34" s="366"/>
      <c r="F34" s="366">
        <f>C34*D34</f>
        <v>897</v>
      </c>
      <c r="G34" s="365"/>
      <c r="H34" s="365"/>
      <c r="I34" s="365"/>
      <c r="J34" s="365"/>
      <c r="K34" s="365"/>
      <c r="L34" s="365"/>
      <c r="M34" s="36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5"/>
      <c r="B35" s="365"/>
      <c r="C35" s="365"/>
      <c r="D35" s="366"/>
      <c r="E35" s="366"/>
      <c r="F35" s="366"/>
      <c r="G35" s="365"/>
      <c r="H35" s="365"/>
      <c r="I35" s="365"/>
      <c r="J35" s="365"/>
      <c r="K35" s="365"/>
      <c r="L35" s="365"/>
      <c r="M35" s="36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5"/>
      <c r="B36" s="365"/>
      <c r="C36" s="365"/>
      <c r="D36" s="366"/>
      <c r="E36" s="366"/>
      <c r="F36" s="366"/>
      <c r="G36" s="365"/>
      <c r="H36" s="365"/>
      <c r="I36" s="365"/>
      <c r="J36" s="365"/>
      <c r="K36" s="365"/>
      <c r="L36" s="365"/>
      <c r="M36" s="36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5"/>
      <c r="B37" s="365"/>
      <c r="C37" s="365"/>
      <c r="D37" s="366"/>
      <c r="E37" s="366"/>
      <c r="F37" s="366"/>
      <c r="G37" s="365"/>
      <c r="H37" s="365"/>
      <c r="I37" s="365"/>
      <c r="J37" s="365"/>
      <c r="K37" s="365"/>
      <c r="L37" s="365"/>
      <c r="M37" s="36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847" t="s">
        <v>78</v>
      </c>
      <c r="P41" s="84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78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4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4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1" t="s">
        <v>1</v>
      </c>
      <c r="B44" s="371" t="s">
        <v>2</v>
      </c>
      <c r="C44" s="371" t="s">
        <v>4</v>
      </c>
      <c r="D44" s="371" t="s">
        <v>5</v>
      </c>
      <c r="E44" s="373" t="s">
        <v>94</v>
      </c>
      <c r="F44" s="371" t="s">
        <v>60</v>
      </c>
      <c r="G44" s="371" t="s">
        <v>3</v>
      </c>
      <c r="H44" s="371" t="s">
        <v>6</v>
      </c>
      <c r="I44" s="371" t="s">
        <v>7</v>
      </c>
      <c r="J44" s="371" t="s">
        <v>95</v>
      </c>
      <c r="K44" s="371" t="s">
        <v>61</v>
      </c>
      <c r="L44" s="371" t="s">
        <v>77</v>
      </c>
      <c r="M44" s="371" t="s">
        <v>38</v>
      </c>
      <c r="T44" s="91" t="s">
        <v>98</v>
      </c>
      <c r="U44" s="41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4" t="s">
        <v>0</v>
      </c>
      <c r="B45" s="624">
        <v>42403</v>
      </c>
      <c r="C45" s="365">
        <v>10</v>
      </c>
      <c r="D45" s="366">
        <v>123.5</v>
      </c>
      <c r="E45" s="366">
        <v>0</v>
      </c>
      <c r="F45" s="366">
        <f>D45*C45+E45</f>
        <v>1235</v>
      </c>
      <c r="G45" s="624">
        <v>42436</v>
      </c>
      <c r="H45" s="369">
        <v>10</v>
      </c>
      <c r="I45" s="366">
        <v>140.65</v>
      </c>
      <c r="J45" s="366">
        <v>0.03</v>
      </c>
      <c r="K45" s="365">
        <f>I45*H45-J45</f>
        <v>1406.47</v>
      </c>
      <c r="L45" s="364"/>
      <c r="M45" s="366"/>
      <c r="O45" s="847" t="s">
        <v>78</v>
      </c>
      <c r="P45" s="847"/>
      <c r="T45" s="91" t="s">
        <v>99</v>
      </c>
      <c r="U45" s="41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5" t="s">
        <v>71</v>
      </c>
      <c r="B46" s="549">
        <v>42702</v>
      </c>
      <c r="C46" s="500">
        <v>20</v>
      </c>
      <c r="D46" s="502">
        <v>139.88</v>
      </c>
      <c r="E46" s="502">
        <v>0</v>
      </c>
      <c r="F46" s="502">
        <f>C46*D46 + E46</f>
        <v>2797.6</v>
      </c>
      <c r="G46" s="549">
        <v>42766</v>
      </c>
      <c r="H46" s="500">
        <v>10</v>
      </c>
      <c r="I46" s="502">
        <v>149.08000000000001</v>
      </c>
      <c r="J46" s="502">
        <v>0.03</v>
      </c>
      <c r="K46" s="502">
        <f>H46*I46 - J46</f>
        <v>1490.7700000000002</v>
      </c>
      <c r="L46" s="499">
        <v>42753</v>
      </c>
      <c r="M46" s="502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1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5"/>
      <c r="B47" s="549">
        <v>42767</v>
      </c>
      <c r="C47" s="500">
        <v>10</v>
      </c>
      <c r="D47" s="502">
        <v>152.69999999999999</v>
      </c>
      <c r="E47" s="502">
        <v>0</v>
      </c>
      <c r="F47" s="502">
        <f>C47*D47 + E47</f>
        <v>1527</v>
      </c>
      <c r="G47" s="549">
        <v>42767</v>
      </c>
      <c r="H47" s="517">
        <v>10</v>
      </c>
      <c r="I47" s="502">
        <v>154.6</v>
      </c>
      <c r="J47" s="502">
        <v>0.03</v>
      </c>
      <c r="K47" s="502">
        <f>H47*I47 - J47</f>
        <v>1545.97</v>
      </c>
      <c r="L47" s="499"/>
      <c r="M47" s="502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1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5"/>
      <c r="B48" s="549"/>
      <c r="C48" s="500"/>
      <c r="D48" s="502"/>
      <c r="E48" s="502"/>
      <c r="F48" s="502"/>
      <c r="G48" s="549">
        <v>42803</v>
      </c>
      <c r="H48" s="517">
        <v>10</v>
      </c>
      <c r="I48" s="500">
        <v>157.9</v>
      </c>
      <c r="J48" s="502">
        <v>0.03</v>
      </c>
      <c r="K48" s="502">
        <f>H48*I48 - J48</f>
        <v>1578.97</v>
      </c>
      <c r="L48" s="500"/>
      <c r="M48" s="500"/>
      <c r="O48" s="81">
        <v>1.08</v>
      </c>
      <c r="P48" s="81">
        <f t="shared" si="0"/>
        <v>226.06560000000002</v>
      </c>
      <c r="Q48" s="2"/>
      <c r="T48" s="91" t="s">
        <v>102</v>
      </c>
      <c r="U48" s="41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5"/>
      <c r="B49" s="549"/>
      <c r="C49" s="500"/>
      <c r="D49" s="502"/>
      <c r="E49" s="502"/>
      <c r="F49" s="502"/>
      <c r="G49" s="549"/>
      <c r="H49" s="517"/>
      <c r="I49" s="502"/>
      <c r="J49" s="502"/>
      <c r="K49" s="500"/>
      <c r="L49" s="500"/>
      <c r="M49" s="500"/>
      <c r="O49" s="81">
        <v>1.07</v>
      </c>
      <c r="P49" s="81">
        <f t="shared" si="0"/>
        <v>223.97239999999999</v>
      </c>
      <c r="Q49" s="2"/>
      <c r="T49" s="91" t="s">
        <v>103</v>
      </c>
      <c r="U49" s="419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5"/>
      <c r="B50" s="624"/>
      <c r="C50" s="365"/>
      <c r="D50" s="366"/>
      <c r="E50" s="366"/>
      <c r="F50" s="366"/>
      <c r="G50" s="624"/>
      <c r="H50" s="365"/>
      <c r="I50" s="365"/>
      <c r="J50" s="365"/>
      <c r="K50" s="365"/>
      <c r="L50" s="365"/>
      <c r="M50" s="365"/>
      <c r="O50" s="81">
        <v>1.06</v>
      </c>
      <c r="P50" s="81">
        <f t="shared" si="0"/>
        <v>221.8792</v>
      </c>
      <c r="Q50" s="2"/>
      <c r="T50" s="91"/>
      <c r="U50" s="41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5"/>
      <c r="B51" s="624"/>
      <c r="C51" s="365"/>
      <c r="D51" s="366"/>
      <c r="E51" s="366"/>
      <c r="F51" s="366"/>
      <c r="G51" s="624"/>
      <c r="H51" s="365"/>
      <c r="I51" s="365"/>
      <c r="J51" s="365"/>
      <c r="K51" s="365"/>
      <c r="L51" s="365"/>
      <c r="M51" s="365"/>
      <c r="O51" s="81">
        <v>1.05</v>
      </c>
      <c r="P51" s="81">
        <f t="shared" si="0"/>
        <v>219.786</v>
      </c>
      <c r="Q51" s="2"/>
      <c r="T51" s="91" t="s">
        <v>104</v>
      </c>
      <c r="U51" s="419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5"/>
      <c r="B52" s="624"/>
      <c r="C52" s="365"/>
      <c r="D52" s="366"/>
      <c r="E52" s="366"/>
      <c r="F52" s="366"/>
      <c r="G52" s="624"/>
      <c r="H52" s="365"/>
      <c r="I52" s="365"/>
      <c r="J52" s="365"/>
      <c r="K52" s="365"/>
      <c r="L52" s="365"/>
      <c r="M52" s="365"/>
      <c r="O52" s="81">
        <v>1.04</v>
      </c>
      <c r="P52" s="81">
        <f t="shared" si="0"/>
        <v>217.69280000000001</v>
      </c>
      <c r="Q52" s="2"/>
      <c r="T52" s="91" t="s">
        <v>105</v>
      </c>
      <c r="U52" s="419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5"/>
      <c r="B53" s="624"/>
      <c r="C53" s="365"/>
      <c r="D53" s="365"/>
      <c r="E53" s="366"/>
      <c r="F53" s="365"/>
      <c r="G53" s="624"/>
      <c r="H53" s="365"/>
      <c r="I53" s="365"/>
      <c r="J53" s="365"/>
      <c r="K53" s="365"/>
      <c r="L53" s="365"/>
      <c r="M53" s="365"/>
      <c r="O53" s="81">
        <v>1.03</v>
      </c>
      <c r="P53" s="81">
        <f t="shared" si="0"/>
        <v>215.59960000000001</v>
      </c>
      <c r="Q53" s="2"/>
      <c r="T53" s="91" t="s">
        <v>106</v>
      </c>
      <c r="U53" s="42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5"/>
      <c r="B55" s="365"/>
      <c r="C55" s="365"/>
      <c r="D55" s="365"/>
      <c r="E55" s="366"/>
      <c r="F55" s="365"/>
      <c r="G55" s="365"/>
      <c r="H55" s="365"/>
      <c r="I55" s="365"/>
      <c r="J55" s="365"/>
      <c r="K55" s="365"/>
      <c r="L55" s="365"/>
      <c r="M55" s="365"/>
      <c r="O55" s="81">
        <v>1.01</v>
      </c>
      <c r="P55" s="81">
        <f t="shared" si="0"/>
        <v>211.41319999999999</v>
      </c>
      <c r="Q55" s="2"/>
      <c r="T55" s="91" t="s">
        <v>107</v>
      </c>
      <c r="U55" s="419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1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1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19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78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1" t="s">
        <v>1</v>
      </c>
      <c r="B37" s="371" t="s">
        <v>2</v>
      </c>
      <c r="C37" s="371" t="s">
        <v>4</v>
      </c>
      <c r="D37" s="371" t="s">
        <v>5</v>
      </c>
      <c r="E37" s="373" t="s">
        <v>94</v>
      </c>
      <c r="F37" s="371" t="s">
        <v>60</v>
      </c>
      <c r="G37" s="371" t="s">
        <v>3</v>
      </c>
      <c r="H37" s="371" t="s">
        <v>6</v>
      </c>
      <c r="I37" s="371" t="s">
        <v>7</v>
      </c>
      <c r="J37" s="371" t="s">
        <v>95</v>
      </c>
      <c r="K37" s="371" t="s">
        <v>61</v>
      </c>
      <c r="L37" s="371" t="s">
        <v>77</v>
      </c>
      <c r="M37" s="37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4" t="s">
        <v>39</v>
      </c>
      <c r="B38" s="364">
        <v>42179</v>
      </c>
      <c r="C38" s="365">
        <v>10</v>
      </c>
      <c r="D38" s="366">
        <v>37.799999999999997</v>
      </c>
      <c r="E38" s="366">
        <v>0</v>
      </c>
      <c r="F38" s="366">
        <f t="shared" ref="F38:F45" si="4">C38*D38</f>
        <v>378</v>
      </c>
      <c r="G38" s="364">
        <v>42310</v>
      </c>
      <c r="H38" s="369">
        <v>170</v>
      </c>
      <c r="I38" s="366">
        <v>30.28</v>
      </c>
      <c r="J38" s="366">
        <v>7.04</v>
      </c>
      <c r="K38" s="365">
        <f>H38*I38-J38</f>
        <v>5140.5600000000004</v>
      </c>
      <c r="L38" s="364">
        <v>42250</v>
      </c>
      <c r="M38" s="36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5" t="s">
        <v>71</v>
      </c>
      <c r="B39" s="364">
        <v>42194</v>
      </c>
      <c r="C39" s="365">
        <v>10</v>
      </c>
      <c r="D39" s="366">
        <v>35.5</v>
      </c>
      <c r="E39" s="366">
        <v>0</v>
      </c>
      <c r="F39" s="366">
        <f t="shared" si="4"/>
        <v>355</v>
      </c>
      <c r="G39" s="364">
        <v>42314</v>
      </c>
      <c r="H39" s="369">
        <v>80</v>
      </c>
      <c r="I39" s="366">
        <v>32.5</v>
      </c>
      <c r="J39" s="366">
        <v>0.05</v>
      </c>
      <c r="K39" s="365">
        <f>H39*I39-J39</f>
        <v>2599.9499999999998</v>
      </c>
      <c r="L39" s="364">
        <v>42345</v>
      </c>
      <c r="M39" s="36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5"/>
      <c r="B40" s="364">
        <v>42230</v>
      </c>
      <c r="C40" s="365">
        <v>20</v>
      </c>
      <c r="D40" s="366">
        <v>32.9</v>
      </c>
      <c r="E40" s="366">
        <v>0</v>
      </c>
      <c r="F40" s="366">
        <f t="shared" si="4"/>
        <v>658</v>
      </c>
      <c r="G40" s="364">
        <v>42010</v>
      </c>
      <c r="H40" s="369">
        <v>40</v>
      </c>
      <c r="I40" s="365">
        <v>28.92</v>
      </c>
      <c r="J40" s="366">
        <v>0.02</v>
      </c>
      <c r="K40" s="365">
        <f>H40*I40-J40</f>
        <v>1156.7800000000002</v>
      </c>
      <c r="L40" s="365"/>
      <c r="M40" s="36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5"/>
      <c r="B41" s="364">
        <v>42240</v>
      </c>
      <c r="C41" s="365">
        <v>40</v>
      </c>
      <c r="D41" s="366">
        <v>32.4</v>
      </c>
      <c r="E41" s="366">
        <v>0</v>
      </c>
      <c r="F41" s="366">
        <f t="shared" si="4"/>
        <v>1296</v>
      </c>
      <c r="G41" s="364">
        <v>42404</v>
      </c>
      <c r="H41" s="369">
        <v>90</v>
      </c>
      <c r="I41" s="366">
        <v>28.55</v>
      </c>
      <c r="J41" s="366">
        <v>0.05</v>
      </c>
      <c r="K41" s="365">
        <f>H41*I41-J41</f>
        <v>2569.4499999999998</v>
      </c>
      <c r="L41" s="365"/>
      <c r="M41" s="36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5"/>
      <c r="B42" s="364">
        <v>42275</v>
      </c>
      <c r="C42" s="365">
        <v>90</v>
      </c>
      <c r="D42" s="366">
        <v>29.2</v>
      </c>
      <c r="E42" s="366">
        <v>0</v>
      </c>
      <c r="F42" s="366">
        <f t="shared" si="4"/>
        <v>2628</v>
      </c>
      <c r="G42" s="364">
        <v>42412</v>
      </c>
      <c r="H42" s="369">
        <v>90</v>
      </c>
      <c r="I42" s="366">
        <v>29.55</v>
      </c>
      <c r="J42" s="366">
        <v>0.06</v>
      </c>
      <c r="K42" s="365">
        <f>H42*I42-J42</f>
        <v>2659.44</v>
      </c>
      <c r="L42" s="365"/>
      <c r="M42" s="365"/>
      <c r="O42" s="402" t="s">
        <v>78</v>
      </c>
      <c r="P42" s="40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5"/>
      <c r="B43" s="364">
        <v>42298</v>
      </c>
      <c r="C43" s="365">
        <v>170</v>
      </c>
      <c r="D43" s="366">
        <v>28.4</v>
      </c>
      <c r="E43" s="366">
        <v>0</v>
      </c>
      <c r="F43" s="366">
        <f t="shared" si="4"/>
        <v>4828</v>
      </c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49.28</v>
      </c>
      <c r="T43" s="91" t="s">
        <v>97</v>
      </c>
      <c r="U43" s="41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5"/>
      <c r="B44" s="364">
        <v>42360</v>
      </c>
      <c r="C44" s="365">
        <v>40</v>
      </c>
      <c r="D44" s="366">
        <v>27.25</v>
      </c>
      <c r="E44" s="366">
        <v>0</v>
      </c>
      <c r="F44" s="366">
        <f t="shared" si="4"/>
        <v>1090</v>
      </c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1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5"/>
      <c r="B45" s="364">
        <v>42376</v>
      </c>
      <c r="C45" s="365">
        <v>90</v>
      </c>
      <c r="D45" s="366">
        <v>26.75</v>
      </c>
      <c r="E45" s="366">
        <v>0</v>
      </c>
      <c r="F45" s="366">
        <f t="shared" si="4"/>
        <v>2407.5</v>
      </c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5"/>
        <v>48.384</v>
      </c>
      <c r="T45" s="91" t="s">
        <v>99</v>
      </c>
      <c r="U45" s="41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5"/>
      <c r="B46" s="365"/>
      <c r="C46" s="365"/>
      <c r="D46" s="365"/>
      <c r="E46" s="366"/>
      <c r="F46" s="365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5"/>
        <v>47.936</v>
      </c>
      <c r="Q46" s="2"/>
      <c r="T46" s="91" t="s">
        <v>100</v>
      </c>
      <c r="U46" s="41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1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5"/>
      <c r="B48" s="365"/>
      <c r="C48" s="365"/>
      <c r="D48" s="365"/>
      <c r="E48" s="366"/>
      <c r="F48" s="365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5"/>
        <v>47.04</v>
      </c>
      <c r="Q48" s="2"/>
      <c r="T48" s="91" t="s">
        <v>102</v>
      </c>
      <c r="U48" s="41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19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1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19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19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19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1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1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19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78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7" t="s">
        <v>78</v>
      </c>
      <c r="Q39" s="84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78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7" t="s">
        <v>78</v>
      </c>
      <c r="P41" s="84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3" t="s">
        <v>81</v>
      </c>
      <c r="B44" s="404"/>
      <c r="C44" s="404">
        <f>SUM(C35:C40)</f>
        <v>70</v>
      </c>
      <c r="D44" s="405"/>
      <c r="E44" s="405"/>
      <c r="F44" s="405">
        <f>SUM(F35:F40)</f>
        <v>8027.9</v>
      </c>
      <c r="G44" s="405"/>
      <c r="H44" s="406">
        <f>SUM(H35:H39)</f>
        <v>70</v>
      </c>
      <c r="I44" s="405"/>
      <c r="J44" s="405"/>
      <c r="K44" s="405">
        <f>SUM(K35:K39)</f>
        <v>8192.1</v>
      </c>
      <c r="L44" s="405"/>
      <c r="M44" s="405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81</vt:i4>
      </vt:variant>
    </vt:vector>
  </HeadingPairs>
  <TitlesOfParts>
    <vt:vector size="16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2018-04-16T01:56:44Z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