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r:id="rId22"/>
    <sheet name="GE" sheetId="86" state="hidden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r:id="rId28"/>
    <sheet name="ULTA" sheetId="81" state="hidden" r:id="rId29"/>
    <sheet name="FRC" sheetId="89" state="hidden" r:id="rId30"/>
    <sheet name="AAP" sheetId="77" state="hidden" r:id="rId31"/>
    <sheet name="CMCSA" sheetId="99" r:id="rId32"/>
    <sheet name="XEC" sheetId="100" state="hidden" r:id="rId33"/>
    <sheet name="MO" sheetId="102" state="hidden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state="hidden" r:id="rId41"/>
    <sheet name="AZO" sheetId="83" state="hidden" r:id="rId42"/>
    <sheet name="FL" sheetId="98" state="hidden" r:id="rId43"/>
    <sheet name="MLM" sheetId="97" state="hidden" r:id="rId44"/>
    <sheet name="KHC" sheetId="96" state="hidden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r:id="rId51"/>
    <sheet name="VGK" sheetId="59" state="hidden" r:id="rId52"/>
    <sheet name="CMG" sheetId="87" state="hidden" r:id="rId53"/>
    <sheet name="HAS" sheetId="90" r:id="rId54"/>
    <sheet name="HSIC" sheetId="82" state="hidden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state="hidden" r:id="rId81"/>
    <sheet name="WWD" sheetId="28" state="hidden" r:id="rId82"/>
    <sheet name="GIS" sheetId="43" state="hidden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83" i="38" l="1"/>
  <c r="D683" i="38"/>
  <c r="E683" i="38"/>
  <c r="G683" i="38"/>
  <c r="H683" i="38"/>
  <c r="K683" i="38"/>
  <c r="L683" i="38"/>
  <c r="P683" i="38" s="1"/>
  <c r="Q683" i="38" s="1"/>
  <c r="M683" i="38"/>
  <c r="N683" i="38" s="1"/>
  <c r="S683" i="38"/>
  <c r="V683" i="38"/>
  <c r="X683" i="38" l="1"/>
  <c r="W683" i="38"/>
  <c r="O683" i="38"/>
  <c r="Z683" i="38"/>
  <c r="U683" i="38"/>
  <c r="F38" i="86"/>
  <c r="H38" i="86"/>
  <c r="G38" i="86"/>
  <c r="K4" i="86"/>
  <c r="Y683" i="38" l="1"/>
  <c r="F68" i="84"/>
  <c r="G68" i="84"/>
  <c r="H68" i="84"/>
  <c r="K10" i="84"/>
  <c r="H18" i="84"/>
  <c r="F237" i="25"/>
  <c r="G237" i="25"/>
  <c r="H237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G48" i="45"/>
  <c r="K7" i="45"/>
  <c r="F67" i="84"/>
  <c r="H67" i="84"/>
  <c r="G67" i="84"/>
  <c r="K9" i="84"/>
  <c r="K682" i="38"/>
  <c r="G682" i="38"/>
  <c r="D682" i="38"/>
  <c r="A682" i="38"/>
  <c r="E682" i="38"/>
  <c r="H682" i="38"/>
  <c r="M682" i="38"/>
  <c r="N682" i="38" s="1"/>
  <c r="S682" i="38"/>
  <c r="F236" i="25"/>
  <c r="H236" i="25"/>
  <c r="G236" i="25"/>
  <c r="F86" i="25"/>
  <c r="F64" i="46"/>
  <c r="H64" i="46"/>
  <c r="G64" i="46"/>
  <c r="F41" i="47"/>
  <c r="H41" i="47"/>
  <c r="G41" i="47"/>
  <c r="K9" i="47"/>
  <c r="K13" i="46"/>
  <c r="F235" i="25"/>
  <c r="H235" i="25"/>
  <c r="G235" i="25"/>
  <c r="F43" i="92"/>
  <c r="H43" i="92"/>
  <c r="G43" i="92"/>
  <c r="F9" i="92"/>
  <c r="C18" i="92"/>
  <c r="F85" i="25"/>
  <c r="F42" i="92"/>
  <c r="H42" i="92"/>
  <c r="G42" i="92"/>
  <c r="F8" i="92"/>
  <c r="Q13" i="68"/>
  <c r="Q13" i="47"/>
  <c r="F31" i="102"/>
  <c r="H31" i="102"/>
  <c r="G31" i="102"/>
  <c r="Q13" i="84"/>
  <c r="F66" i="84"/>
  <c r="H66" i="84"/>
  <c r="G66" i="84"/>
  <c r="F155" i="51"/>
  <c r="H155" i="51"/>
  <c r="G155" i="51"/>
  <c r="Q13" i="51"/>
  <c r="C24" i="46"/>
  <c r="M19" i="47"/>
  <c r="H19" i="47"/>
  <c r="C19" i="47"/>
  <c r="H24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34" i="25"/>
  <c r="H234" i="25"/>
  <c r="G234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65" i="84"/>
  <c r="H65" i="84"/>
  <c r="G65" i="84"/>
  <c r="F233" i="25"/>
  <c r="G233" i="25"/>
  <c r="H233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64" i="84"/>
  <c r="H64" i="84"/>
  <c r="G64" i="84"/>
  <c r="F15" i="84"/>
  <c r="C18" i="84"/>
  <c r="F45" i="49"/>
  <c r="H45" i="49"/>
  <c r="G45" i="49"/>
  <c r="F5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3" i="84"/>
  <c r="G63" i="84"/>
  <c r="H63" i="84"/>
  <c r="F154" i="51"/>
  <c r="H154" i="51"/>
  <c r="G154" i="51"/>
  <c r="F232" i="25"/>
  <c r="G232" i="25"/>
  <c r="H232" i="25"/>
  <c r="F44" i="49"/>
  <c r="H44" i="49"/>
  <c r="G44" i="49"/>
  <c r="F4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M85" i="105"/>
  <c r="F85" i="105"/>
  <c r="C19" i="105"/>
  <c r="M19" i="105"/>
  <c r="K85" i="105"/>
  <c r="F19" i="105"/>
  <c r="C85" i="105"/>
  <c r="H19" i="105"/>
  <c r="K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C32" i="5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24" i="25"/>
  <c r="G224" i="25"/>
  <c r="H224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52" i="88"/>
  <c r="H52" i="88"/>
  <c r="G52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H19" i="104"/>
  <c r="F85" i="104"/>
  <c r="C19" i="104"/>
  <c r="H85" i="104"/>
  <c r="M19" i="104"/>
  <c r="K85" i="104"/>
  <c r="F19" i="104"/>
  <c r="M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55" i="84"/>
  <c r="G55" i="84"/>
  <c r="H55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3" i="47"/>
  <c r="H33" i="47"/>
  <c r="G33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3" i="84"/>
  <c r="G53" i="84"/>
  <c r="H53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AA22" i="58" s="1"/>
  <c r="AB22" i="58" s="1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9" i="47"/>
  <c r="H29" i="47"/>
  <c r="G29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28" i="47"/>
  <c r="G28" i="47"/>
  <c r="H28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85" i="103"/>
  <c r="F85" i="103"/>
  <c r="H85" i="103"/>
  <c r="H19" i="103"/>
  <c r="C19" i="103"/>
  <c r="M19" i="103"/>
  <c r="K19" i="103"/>
  <c r="F19" i="103"/>
  <c r="M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196" i="25"/>
  <c r="H196" i="25"/>
  <c r="G196" i="25"/>
  <c r="K48" i="25"/>
  <c r="F69" i="87"/>
  <c r="K69" i="87"/>
  <c r="H85" i="102"/>
  <c r="H19" i="102"/>
  <c r="F85" i="102"/>
  <c r="K19" i="102"/>
  <c r="C85" i="102"/>
  <c r="F19" i="102"/>
  <c r="M85" i="102"/>
  <c r="C19" i="102"/>
  <c r="K85" i="102"/>
  <c r="M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43" i="88"/>
  <c r="H43" i="88"/>
  <c r="G43" i="88"/>
  <c r="F10" i="88"/>
  <c r="AA10" i="88" s="1"/>
  <c r="AB10" i="88" s="1"/>
  <c r="F19" i="99"/>
  <c r="H19" i="99"/>
  <c r="M19" i="100"/>
  <c r="M85" i="101"/>
  <c r="H85" i="100"/>
  <c r="H19" i="100"/>
  <c r="C19" i="100"/>
  <c r="K85" i="101"/>
  <c r="F85" i="100"/>
  <c r="H85" i="101"/>
  <c r="M19" i="101"/>
  <c r="F19" i="101"/>
  <c r="K19" i="99"/>
  <c r="M85" i="100"/>
  <c r="H85" i="99"/>
  <c r="C85" i="100"/>
  <c r="K19" i="101"/>
  <c r="F85" i="99"/>
  <c r="C85" i="101"/>
  <c r="C85" i="99"/>
  <c r="C19" i="101"/>
  <c r="M85" i="99"/>
  <c r="H19" i="101"/>
  <c r="C19" i="99"/>
  <c r="M19" i="99"/>
  <c r="F85" i="101"/>
  <c r="K19" i="100"/>
  <c r="F19" i="100"/>
  <c r="K85" i="100"/>
  <c r="K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19" i="98"/>
  <c r="C19" i="98"/>
  <c r="H85" i="97"/>
  <c r="C19" i="97"/>
  <c r="M85" i="98"/>
  <c r="H19" i="97"/>
  <c r="F19" i="97"/>
  <c r="K25" i="88"/>
  <c r="C85" i="97"/>
  <c r="F19" i="98"/>
  <c r="F85" i="98"/>
  <c r="M85" i="97"/>
  <c r="K19" i="98"/>
  <c r="F85" i="97"/>
  <c r="M19" i="97"/>
  <c r="H19" i="98"/>
  <c r="H85" i="98"/>
  <c r="K85" i="97"/>
  <c r="C85" i="98"/>
  <c r="K19" i="97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85" i="96"/>
  <c r="H19" i="96"/>
  <c r="C19" i="96"/>
  <c r="H85" i="96"/>
  <c r="K19" i="96"/>
  <c r="M19" i="96"/>
  <c r="F19" i="96"/>
  <c r="C85" i="96"/>
  <c r="K85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5" i="47"/>
  <c r="G25" i="47"/>
  <c r="H25" i="47"/>
  <c r="F24" i="47"/>
  <c r="G24" i="47"/>
  <c r="H24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F85" i="95"/>
  <c r="H19" i="95"/>
  <c r="M19" i="95"/>
  <c r="M85" i="95"/>
  <c r="K19" i="95"/>
  <c r="C19" i="95"/>
  <c r="F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H19" i="94"/>
  <c r="K19" i="94"/>
  <c r="C85" i="94"/>
  <c r="H85" i="94"/>
  <c r="M19" i="94"/>
  <c r="F85" i="94"/>
  <c r="C19" i="94"/>
  <c r="M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19" i="93"/>
  <c r="C19" i="93"/>
  <c r="C85" i="93"/>
  <c r="F85" i="93"/>
  <c r="K85" i="93"/>
  <c r="M19" i="93"/>
  <c r="H19" i="93"/>
  <c r="M85" i="93"/>
  <c r="K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2"/>
  <c r="H19" i="91"/>
  <c r="F19" i="91"/>
  <c r="F19" i="92"/>
  <c r="H85" i="92"/>
  <c r="M85" i="91"/>
  <c r="K19" i="92"/>
  <c r="K19" i="91"/>
  <c r="C19" i="91"/>
  <c r="C19" i="92"/>
  <c r="C85" i="91"/>
  <c r="H19" i="92"/>
  <c r="M85" i="92"/>
  <c r="F85" i="92"/>
  <c r="H85" i="91"/>
  <c r="K85" i="91"/>
  <c r="M19" i="92"/>
  <c r="C85" i="92"/>
  <c r="M19" i="91"/>
  <c r="F19" i="47"/>
  <c r="F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19" i="90"/>
  <c r="K85" i="90"/>
  <c r="F19" i="90"/>
  <c r="K19" i="90"/>
  <c r="M85" i="90"/>
  <c r="H19" i="90"/>
  <c r="M19" i="90"/>
  <c r="C85" i="90"/>
  <c r="F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H19" i="89"/>
  <c r="M85" i="89"/>
  <c r="H58" i="51"/>
  <c r="K19" i="89"/>
  <c r="F19" i="89"/>
  <c r="C85" i="89"/>
  <c r="C19" i="89"/>
  <c r="M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C19" i="87"/>
  <c r="C91" i="88"/>
  <c r="H19" i="87"/>
  <c r="F25" i="88"/>
  <c r="M25" i="88"/>
  <c r="H91" i="88"/>
  <c r="H85" i="87"/>
  <c r="F91" i="88"/>
  <c r="C85" i="87"/>
  <c r="M91" i="88"/>
  <c r="F19" i="87"/>
  <c r="K91" i="88"/>
  <c r="K85" i="87"/>
  <c r="M85" i="87"/>
  <c r="F85" i="87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M85" i="86"/>
  <c r="M19" i="86"/>
  <c r="H19" i="86"/>
  <c r="H85" i="86"/>
  <c r="F85" i="86"/>
  <c r="C85" i="86"/>
  <c r="K85" i="86"/>
  <c r="F19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H85" i="85"/>
  <c r="M19" i="85"/>
  <c r="H19" i="85"/>
  <c r="F19" i="85"/>
  <c r="K19" i="85"/>
  <c r="C85" i="85"/>
  <c r="M85" i="85"/>
  <c r="K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0" i="84"/>
  <c r="K100" i="84"/>
  <c r="H100" i="84"/>
  <c r="F100" i="84"/>
  <c r="C100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01" i="84"/>
  <c r="K85" i="83"/>
  <c r="F85" i="83"/>
  <c r="H19" i="84"/>
  <c r="H19" i="83"/>
  <c r="C19" i="83"/>
  <c r="C19" i="84"/>
  <c r="F19" i="83"/>
  <c r="M19" i="84"/>
  <c r="C85" i="83"/>
  <c r="K101" i="84"/>
  <c r="H101" i="84"/>
  <c r="C101" i="84"/>
  <c r="M85" i="83"/>
  <c r="H85" i="83"/>
  <c r="F19" i="84"/>
  <c r="K19" i="83"/>
  <c r="M101" i="84"/>
  <c r="M19" i="83"/>
  <c r="O484" i="38" l="1"/>
  <c r="Z484" i="38"/>
  <c r="Q5" i="85"/>
  <c r="Q3" i="85"/>
  <c r="Q6" i="85" s="1"/>
  <c r="Q7" i="85"/>
  <c r="M82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H18" i="74"/>
  <c r="M60" i="82"/>
  <c r="F60" i="82"/>
  <c r="C18" i="74"/>
  <c r="H60" i="82"/>
  <c r="F19" i="82"/>
  <c r="M19" i="82"/>
  <c r="M18" i="74"/>
  <c r="K60" i="82"/>
  <c r="H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C78" i="75"/>
  <c r="M78" i="75"/>
  <c r="H96" i="31"/>
  <c r="F96" i="31"/>
  <c r="M96" i="31"/>
  <c r="K78" i="75"/>
  <c r="H78" i="75"/>
  <c r="K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85" i="64"/>
  <c r="H19" i="64"/>
  <c r="M19" i="64"/>
  <c r="M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F103" i="81"/>
  <c r="M103" i="81"/>
  <c r="C103" i="81"/>
  <c r="F30" i="81"/>
  <c r="H103" i="81"/>
  <c r="M30" i="81"/>
  <c r="H30" i="81"/>
  <c r="K103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M85" i="80"/>
  <c r="K85" i="80"/>
  <c r="M19" i="80"/>
  <c r="F19" i="80"/>
  <c r="H85" i="80"/>
  <c r="F85" i="80"/>
  <c r="H19" i="80"/>
  <c r="C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M65" i="79"/>
  <c r="F19" i="79"/>
  <c r="C19" i="79"/>
  <c r="H19" i="79"/>
  <c r="C65" i="79"/>
  <c r="F65" i="79"/>
  <c r="K65" i="79"/>
  <c r="H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F85" i="78"/>
  <c r="M85" i="78"/>
  <c r="H19" i="78"/>
  <c r="F19" i="78"/>
  <c r="C85" i="78"/>
  <c r="K85" i="78"/>
  <c r="M19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K89" i="77"/>
  <c r="H89" i="77"/>
  <c r="C89" i="77"/>
  <c r="M89" i="77"/>
  <c r="M19" i="77"/>
  <c r="H19" i="77"/>
  <c r="C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F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M93" i="68"/>
  <c r="K93" i="68"/>
  <c r="H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5" i="25"/>
  <c r="H765" i="25"/>
  <c r="C765" i="25"/>
  <c r="F741" i="25"/>
  <c r="F740" i="25"/>
  <c r="F739" i="25"/>
  <c r="F738" i="25"/>
  <c r="F737" i="25"/>
  <c r="F736" i="25"/>
  <c r="F735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F647" i="25"/>
  <c r="F646" i="25"/>
  <c r="F645" i="25"/>
  <c r="K644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6" i="25"/>
  <c r="H766" i="25"/>
  <c r="C766" i="25"/>
  <c r="M766" i="25"/>
  <c r="K766" i="25"/>
  <c r="O364" i="38" l="1"/>
  <c r="Z364" i="38"/>
  <c r="N363" i="38"/>
  <c r="F765" i="25"/>
  <c r="K765" i="25"/>
  <c r="P363" i="38"/>
  <c r="O363" i="38" l="1"/>
  <c r="Z363" i="38"/>
  <c r="M502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H248" i="25"/>
  <c r="G248" i="25"/>
  <c r="H247" i="25"/>
  <c r="G247" i="25"/>
  <c r="H246" i="25"/>
  <c r="G246" i="25"/>
  <c r="H245" i="25"/>
  <c r="G245" i="25"/>
  <c r="H244" i="25"/>
  <c r="G244" i="25"/>
  <c r="H243" i="25"/>
  <c r="G243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213" i="57"/>
  <c r="K19" i="34"/>
  <c r="F90" i="72"/>
  <c r="K72" i="59"/>
  <c r="K51" i="54"/>
  <c r="F30" i="40"/>
  <c r="H19" i="66"/>
  <c r="F77" i="70"/>
  <c r="F19" i="41"/>
  <c r="H19" i="3"/>
  <c r="M19" i="62"/>
  <c r="K171" i="58"/>
  <c r="F19" i="64"/>
  <c r="H65" i="71"/>
  <c r="H19" i="41"/>
  <c r="F30" i="49"/>
  <c r="M23" i="57"/>
  <c r="H55" i="50"/>
  <c r="F19" i="45"/>
  <c r="K19" i="69"/>
  <c r="C19" i="68"/>
  <c r="M33" i="58"/>
  <c r="F19" i="59"/>
  <c r="F94" i="52"/>
  <c r="H19" i="34"/>
  <c r="K19" i="53"/>
  <c r="C19" i="53"/>
  <c r="F18" i="74"/>
  <c r="M19" i="53"/>
  <c r="C19" i="52"/>
  <c r="M51" i="54"/>
  <c r="H23" i="17"/>
  <c r="K30" i="49"/>
  <c r="C171" i="58"/>
  <c r="M19" i="52"/>
  <c r="H33" i="58"/>
  <c r="M19" i="55"/>
  <c r="M90" i="72"/>
  <c r="C30" i="49"/>
  <c r="K86" i="53"/>
  <c r="M65" i="63"/>
  <c r="K19" i="71"/>
  <c r="F65" i="63"/>
  <c r="C99" i="45"/>
  <c r="F81" i="61"/>
  <c r="H86" i="53"/>
  <c r="M19" i="3"/>
  <c r="C19" i="34"/>
  <c r="C19" i="3"/>
  <c r="F72" i="59"/>
  <c r="C19" i="54"/>
  <c r="H19" i="60"/>
  <c r="F19" i="34"/>
  <c r="M19" i="69"/>
  <c r="C65" i="63"/>
  <c r="H65" i="63"/>
  <c r="H25" i="31"/>
  <c r="M19" i="71"/>
  <c r="H19" i="53"/>
  <c r="K451" i="17"/>
  <c r="F25" i="31"/>
  <c r="K30" i="40"/>
  <c r="H75" i="41"/>
  <c r="H30" i="40"/>
  <c r="F156" i="49"/>
  <c r="M19" i="41"/>
  <c r="F63" i="66"/>
  <c r="C63" i="66"/>
  <c r="F19" i="73"/>
  <c r="C19" i="66"/>
  <c r="K19" i="61"/>
  <c r="K19" i="70"/>
  <c r="M156" i="49"/>
  <c r="H19" i="75"/>
  <c r="C19" i="62"/>
  <c r="F67" i="60"/>
  <c r="K33" i="58"/>
  <c r="K19" i="68"/>
  <c r="M19" i="75"/>
  <c r="K63" i="66"/>
  <c r="C90" i="72"/>
  <c r="C75" i="41"/>
  <c r="K23" i="57"/>
  <c r="F19" i="66"/>
  <c r="H67" i="60"/>
  <c r="M55" i="50"/>
  <c r="H19" i="59"/>
  <c r="K19" i="59"/>
  <c r="F19" i="52"/>
  <c r="C451" i="17"/>
  <c r="K77" i="70"/>
  <c r="C72" i="59"/>
  <c r="F171" i="58"/>
  <c r="M86" i="53"/>
  <c r="K119" i="7"/>
  <c r="C30" i="40"/>
  <c r="F19" i="61"/>
  <c r="M58" i="51"/>
  <c r="K18" i="74"/>
  <c r="C23" i="17"/>
  <c r="M19" i="54"/>
  <c r="H91" i="25"/>
  <c r="H90" i="72"/>
  <c r="M119" i="7"/>
  <c r="H51" i="54"/>
  <c r="C19" i="41"/>
  <c r="C85" i="64"/>
  <c r="F75" i="41"/>
  <c r="K55" i="50"/>
  <c r="C19" i="61"/>
  <c r="K90" i="72"/>
  <c r="C23" i="57"/>
  <c r="F91" i="25"/>
  <c r="M72" i="59"/>
  <c r="C156" i="49"/>
  <c r="C19" i="75"/>
  <c r="K19" i="73"/>
  <c r="C19" i="50"/>
  <c r="M99" i="45"/>
  <c r="K19" i="50"/>
  <c r="M19" i="34"/>
  <c r="M81" i="61"/>
  <c r="M19" i="63"/>
  <c r="F58" i="51"/>
  <c r="C19" i="60"/>
  <c r="K19" i="66"/>
  <c r="H19" i="62"/>
  <c r="H19" i="71"/>
  <c r="M19" i="50"/>
  <c r="F19" i="3"/>
  <c r="C86" i="53"/>
  <c r="F19" i="70"/>
  <c r="M19" i="60"/>
  <c r="K19" i="72"/>
  <c r="K58" i="51"/>
  <c r="H63" i="66"/>
  <c r="F451" i="17"/>
  <c r="M25" i="31"/>
  <c r="C67" i="60"/>
  <c r="H99" i="45"/>
  <c r="H156" i="49"/>
  <c r="C19" i="72"/>
  <c r="C19" i="73"/>
  <c r="K65" i="71"/>
  <c r="H19" i="70"/>
  <c r="C51" i="54"/>
  <c r="C33" i="58"/>
  <c r="F51" i="54"/>
  <c r="H119" i="7"/>
  <c r="C65" i="71"/>
  <c r="H19" i="69"/>
  <c r="F19" i="71"/>
  <c r="C94" i="52"/>
  <c r="K19" i="52"/>
  <c r="F119" i="7"/>
  <c r="F19" i="69"/>
  <c r="H81" i="61"/>
  <c r="F213" i="57"/>
  <c r="K19" i="41"/>
  <c r="F99" i="45"/>
  <c r="H19" i="55"/>
  <c r="H19" i="50"/>
  <c r="M23" i="17"/>
  <c r="F19" i="62"/>
  <c r="M19" i="72"/>
  <c r="C100" i="34"/>
  <c r="H19" i="72"/>
  <c r="H94" i="52"/>
  <c r="M77" i="70"/>
  <c r="K19" i="62"/>
  <c r="H19" i="73"/>
  <c r="H30" i="49"/>
  <c r="K100" i="34"/>
  <c r="M451" i="17"/>
  <c r="K213" i="57"/>
  <c r="F23" i="57"/>
  <c r="F19" i="60"/>
  <c r="K19" i="63"/>
  <c r="C25" i="31"/>
  <c r="K67" i="60"/>
  <c r="H19" i="68"/>
  <c r="F65" i="71"/>
  <c r="K19" i="54"/>
  <c r="C19" i="63"/>
  <c r="K156" i="49"/>
  <c r="K19" i="60"/>
  <c r="M63" i="66"/>
  <c r="C19" i="59"/>
  <c r="K75" i="41"/>
  <c r="H451" i="17"/>
  <c r="K99" i="45"/>
  <c r="K94" i="52"/>
  <c r="H19" i="61"/>
  <c r="K23" i="17"/>
  <c r="C77" i="70"/>
  <c r="H19" i="52"/>
  <c r="M94" i="52"/>
  <c r="M19" i="59"/>
  <c r="K25" i="31"/>
  <c r="F19" i="68"/>
  <c r="M19" i="73"/>
  <c r="C19" i="64"/>
  <c r="H171" i="58"/>
  <c r="M19" i="68"/>
  <c r="H19" i="63"/>
  <c r="C81" i="61"/>
  <c r="M67" i="60"/>
  <c r="K19" i="55"/>
  <c r="K65" i="63"/>
  <c r="M75" i="41"/>
  <c r="F55" i="50"/>
  <c r="K19" i="75"/>
  <c r="F23" i="17"/>
  <c r="M19" i="66"/>
  <c r="F100" i="34"/>
  <c r="C91" i="25"/>
  <c r="H72" i="59"/>
  <c r="F19" i="63"/>
  <c r="C119" i="7"/>
  <c r="K19" i="3"/>
  <c r="M30" i="49"/>
  <c r="C19" i="70"/>
  <c r="F19" i="54"/>
  <c r="C19" i="69"/>
  <c r="F19" i="50"/>
  <c r="F22" i="43"/>
  <c r="M171" i="58"/>
  <c r="F19" i="72"/>
  <c r="C55" i="50"/>
  <c r="H77" i="70"/>
  <c r="M100" i="34"/>
  <c r="M19" i="70"/>
  <c r="M19" i="45"/>
  <c r="C213" i="57"/>
  <c r="C19" i="55"/>
  <c r="H100" i="34"/>
  <c r="K81" i="61"/>
  <c r="H19" i="54"/>
  <c r="M19" i="61"/>
  <c r="C19" i="71"/>
  <c r="C19" i="45"/>
  <c r="F19" i="55"/>
  <c r="F19" i="75"/>
  <c r="M30" i="40"/>
  <c r="F33" i="58"/>
  <c r="F19" i="53"/>
  <c r="F85" i="64"/>
  <c r="M65" i="71"/>
  <c r="F86" i="53"/>
  <c r="H213" i="57"/>
  <c r="V682" i="38" l="1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AA2" i="58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Q8" i="31" l="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82" i="38" l="1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<sst xmlns="http://schemas.openxmlformats.org/spreadsheetml/2006/main" count="7702" uniqueCount="1179">
  <si>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</si>
  <si>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</si>
  <si>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</si>
  <si>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</si>
  <si>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</si>
  <si>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</si>
  <si>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</si>
  <si>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</si>
  <si>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</si>
  <si>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</si>
  <si>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</si>
  <si>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</si>
  <si>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</si>
  <si>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</si>
  <si>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</si>
  <si>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</si>
  <si>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</si>
  <si>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</si>
  <si>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</si>
  <si>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</si>
  <si>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</si>
  <si>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</si>
  <si>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</si>
  <si>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</si>
  <si>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</si>
  <si>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</si>
  <si>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</si>
  <si>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</si>
  <si>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</si>
  <si>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</si>
  <si>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</si>
  <si>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</si>
  <si>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</si>
  <si>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</si>
  <si>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</si>
  <si>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</si>
  <si>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</si>
  <si>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</si>
  <si>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</si>
  <si>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</si>
  <si>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</si>
  <si>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</si>
  <si>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</si>
  <si>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</si>
  <si>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</si>
  <si>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</si>
  <si>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</si>
  <si>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</si>
  <si>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</si>
  <si>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</si>
  <si>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</si>
  <si>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</si>
  <si>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</si>
  <si>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</si>
  <si>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</si>
  <si>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</si>
  <si>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</si>
  <si>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</si>
  <si>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</si>
  <si>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</si>
  <si>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</si>
  <si>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</si>
  <si>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</si>
  <si>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</si>
  <si>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</si>
  <si>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</si>
  <si>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</si>
  <si>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</si>
  <si>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</si>
  <si>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</si>
  <si>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</si>
  <si>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</si>
  <si>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</si>
  <si>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</si>
  <si>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</si>
  <si>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</si>
  <si>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</si>
  <si>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</si>
  <si>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</si>
  <si>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</si>
  <si>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</si>
  <si>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</si>
  <si>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</si>
  <si>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</si>
  <si>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</si>
  <si>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</si>
  <si>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</si>
  <si>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</si>
  <si>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</si>
  <si>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</si>
  <si>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</si>
  <si>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</si>
  <si>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</si>
  <si>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</si>
  <si>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</si>
  <si>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</si>
  <si>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</si>
  <si>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</si>
  <si>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</si>
  <si>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</si>
  <si>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</si>
  <si>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</si>
  <si>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</si>
  <si>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</si>
  <si>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</si>
  <si>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</si>
  <si>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</si>
  <si>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</si>
  <si>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</si>
  <si>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</si>
  <si>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</si>
  <si>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</si>
  <si>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</si>
  <si>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</si>
  <si>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</si>
  <si>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</si>
  <si>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</si>
  <si>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</si>
  <si>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</si>
  <si>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</si>
  <si>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</si>
  <si>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</si>
  <si>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</si>
  <si>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</si>
  <si>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</si>
  <si>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</si>
  <si>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</si>
  <si>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</si>
  <si>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</si>
  <si>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</si>
  <si>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</si>
  <si>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</si>
  <si>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</si>
  <si>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</si>
  <si>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</si>
  <si>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</si>
  <si>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</si>
  <si>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</si>
  <si>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</si>
  <si>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</si>
  <si>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</si>
  <si>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</si>
  <si>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</si>
  <si>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</si>
  <si>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</si>
  <si>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</si>
  <si>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</si>
  <si>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</si>
  <si>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</si>
  <si>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</si>
  <si>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</si>
  <si>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</si>
  <si>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</si>
  <si>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</si>
  <si>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</si>
  <si>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</si>
  <si>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</si>
  <si>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</si>
  <si>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</si>
  <si>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</si>
  <si>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</si>
  <si>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</si>
  <si>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</si>
  <si>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</si>
  <si>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</si>
  <si>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</si>
  <si>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</si>
  <si>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</si>
  <si>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</si>
  <si>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</si>
  <si>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</si>
  <si>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</si>
  <si>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</si>
  <si>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</si>
  <si>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</si>
  <si>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</si>
  <si>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</si>
  <si>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</si>
  <si>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</si>
  <si>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</si>
  <si>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</si>
  <si>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</si>
  <si>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</si>
  <si>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</si>
  <si>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</si>
  <si>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</si>
  <si>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</si>
  <si>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</si>
  <si>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</si>
  <si>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</si>
  <si>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</si>
  <si>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</si>
  <si>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</si>
  <si>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</si>
  <si>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</si>
  <si>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</si>
  <si>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</si>
  <si>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</si>
  <si>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</si>
  <si>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</si>
  <si>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</si>
  <si>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</si>
  <si>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</si>
  <si>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</si>
  <si>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</si>
  <si>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</si>
  <si>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</si>
  <si>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</si>
  <si>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</si>
  <si>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</si>
  <si>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</si>
  <si>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</si>
  <si>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</si>
  <si>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</si>
  <si>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</si>
  <si>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</si>
  <si>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</si>
  <si>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</si>
  <si>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</si>
  <si>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</si>
  <si>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</si>
  <si>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</si>
  <si>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</si>
  <si>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</si>
  <si>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</si>
  <si>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</si>
  <si>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</si>
  <si>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</si>
  <si>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</si>
  <si>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</si>
  <si>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</si>
  <si>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</si>
  <si>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</si>
  <si>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</si>
  <si>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</si>
  <si>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</si>
  <si>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</si>
  <si>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</si>
  <si>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</si>
  <si>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</si>
  <si>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</si>
  <si>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</si>
  <si>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</si>
  <si>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</si>
  <si>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</si>
  <si>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</si>
  <si>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</si>
  <si>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</si>
  <si>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</si>
  <si>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</si>
  <si>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</si>
  <si>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</si>
  <si>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</si>
  <si>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</si>
  <si>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</si>
  <si>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</si>
  <si>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</si>
  <si>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</si>
  <si>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</si>
  <si>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</si>
  <si>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</si>
  <si>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</si>
  <si>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</si>
  <si>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</si>
  <si>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</si>
  <si>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</si>
  <si>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</si>
  <si>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</si>
  <si>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</si>
  <si>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</si>
  <si>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</si>
  <si>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</si>
  <si>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</si>
  <si>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</si>
  <si>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</si>
  <si>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</si>
  <si>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</si>
  <si>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</si>
  <si>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</si>
  <si>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</si>
  <si>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</si>
  <si>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</si>
  <si>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</si>
  <si>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</si>
  <si>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</si>
  <si>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</si>
  <si>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</si>
  <si>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</si>
  <si>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</si>
  <si>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</si>
  <si>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</si>
  <si>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</si>
  <si>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</si>
  <si>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</si>
  <si>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</si>
  <si>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</si>
  <si>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</si>
  <si>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</si>
  <si>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</si>
  <si>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</si>
  <si>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</si>
  <si>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</si>
  <si>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</si>
  <si>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</si>
  <si>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</si>
  <si>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</si>
  <si>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</si>
  <si>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</si>
  <si>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</si>
  <si>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</si>
  <si>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</si>
  <si>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</si>
  <si>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</si>
  <si>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</si>
  <si>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</si>
  <si>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</si>
  <si>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</si>
  <si>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</si>
  <si>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</si>
  <si>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</si>
  <si>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</si>
  <si>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</si>
  <si>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</si>
  <si>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</si>
  <si>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</si>
  <si>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</si>
  <si>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</si>
  <si>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</si>
  <si>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</si>
  <si>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</si>
  <si>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</si>
  <si>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</si>
  <si>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</si>
  <si>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</si>
  <si>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</si>
  <si>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</si>
  <si>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</si>
  <si>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</si>
  <si>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</si>
  <si>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</si>
  <si>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</si>
  <si>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</si>
  <si>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</si>
  <si>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</si>
  <si>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</si>
  <si>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</si>
  <si>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</si>
  <si>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</si>
  <si>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</si>
  <si>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</si>
  <si>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</si>
  <si>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</si>
  <si>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</si>
  <si>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</si>
  <si>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</si>
  <si>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</si>
  <si>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</si>
  <si>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</si>
  <si>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</si>
  <si>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</si>
  <si>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</si>
  <si>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</si>
  <si>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</si>
  <si>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</si>
  <si>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</si>
  <si>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</si>
  <si>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</si>
  <si>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</si>
  <si>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</si>
  <si>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</si>
  <si>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</si>
  <si>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</si>
  <si>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</si>
  <si>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</si>
  <si>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</si>
  <si>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</si>
  <si>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</si>
  <si>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</si>
  <si>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</si>
  <si>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</si>
  <si>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</si>
  <si>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</si>
  <si>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</si>
  <si>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</si>
  <si>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</si>
  <si>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</si>
  <si>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</si>
  <si>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</si>
  <si>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</si>
  <si>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</si>
  <si>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</si>
  <si>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</si>
  <si>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</si>
  <si>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</si>
  <si>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</si>
  <si>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</si>
  <si>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</si>
  <si>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</si>
  <si>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</si>
  <si>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</si>
  <si>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</si>
  <si>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</si>
  <si>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</si>
  <si>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</si>
  <si>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</si>
  <si>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</si>
  <si>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</si>
  <si>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</si>
  <si>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</si>
  <si>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</si>
  <si>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</si>
  <si>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</si>
  <si>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</si>
  <si>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</si>
  <si>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</si>
  <si>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</si>
  <si>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</si>
  <si>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</si>
  <si>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</si>
  <si>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</si>
  <si>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</si>
  <si>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</si>
  <si>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</si>
  <si>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</si>
  <si>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</si>
  <si>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</si>
  <si>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</si>
  <si>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</si>
  <si>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</si>
  <si>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</si>
  <si>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</si>
  <si>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</si>
  <si>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</si>
  <si>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</si>
  <si>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</si>
  <si>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</si>
  <si>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</si>
  <si>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</si>
  <si>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</si>
  <si>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</si>
  <si>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</si>
  <si>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</si>
  <si>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</si>
  <si>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</si>
  <si>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</si>
  <si>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</si>
  <si>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</si>
  <si>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</si>
  <si>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</si>
  <si>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</si>
  <si>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</si>
  <si>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</si>
  <si>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</si>
  <si>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</si>
  <si>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</si>
  <si>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</si>
  <si>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</si>
  <si>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</si>
  <si>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</si>
  <si>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</si>
  <si>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</si>
  <si>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</si>
  <si>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</si>
  <si>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</si>
  <si>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</si>
  <si>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</si>
  <si>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</si>
  <si>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</si>
  <si>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</si>
  <si>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</si>
  <si>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</si>
  <si>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</si>
  <si>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</si>
  <si>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</si>
  <si>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</si>
  <si>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</si>
  <si>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</si>
  <si>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</si>
  <si>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</si>
  <si>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</si>
  <si>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</si>
  <si>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</si>
  <si>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</si>
  <si>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</si>
  <si>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</si>
  <si>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</si>
  <si>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</si>
  <si>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</si>
  <si>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</si>
  <si>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</si>
  <si>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</si>
  <si>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</si>
  <si>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</si>
  <si>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</si>
  <si>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</si>
  <si>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</si>
  <si>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</si>
  <si>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</si>
  <si>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</si>
  <si>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</si>
  <si>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</si>
  <si>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</si>
  <si>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</si>
  <si>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</si>
  <si>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</si>
  <si>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</si>
  <si>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</si>
  <si>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</si>
  <si>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</si>
  <si>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</si>
  <si>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</si>
  <si>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</si>
  <si>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</si>
  <si>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</si>
  <si>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</si>
  <si>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</si>
  <si>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</si>
  <si>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</si>
  <si>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</si>
  <si>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</si>
  <si>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</si>
  <si>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</si>
  <si>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</si>
  <si>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</si>
  <si>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</si>
  <si>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</si>
  <si>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</si>
  <si>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</si>
  <si>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</si>
  <si>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</si>
  <si>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</si>
  <si>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</si>
  <si>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</si>
  <si>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</si>
  <si>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</si>
  <si>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</si>
  <si>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</si>
  <si>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</si>
  <si>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</si>
  <si>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</si>
  <si>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</si>
  <si>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</si>
  <si>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</si>
  <si>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</si>
  <si>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</si>
  <si>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</si>
  <si>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</si>
  <si>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</si>
  <si>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</si>
  <si>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</si>
  <si>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</si>
  <si>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</si>
  <si>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</si>
  <si>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</si>
  <si>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</si>
  <si>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</si>
  <si>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</si>
  <si>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</si>
  <si>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</si>
  <si>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</si>
  <si>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</si>
  <si>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</si>
  <si>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</si>
  <si>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</si>
  <si>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</si>
  <si>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</si>
  <si>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</si>
  <si>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</si>
  <si>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</si>
  <si>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</si>
  <si>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</si>
  <si>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</si>
  <si>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</si>
  <si>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</si>
  <si>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</si>
  <si>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</si>
  <si>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</si>
  <si>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</si>
  <si>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</si>
  <si>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</si>
  <si>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</si>
  <si>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</si>
  <si>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</si>
  <si>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</si>
  <si>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</si>
  <si>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</si>
  <si>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</si>
  <si>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</si>
  <si>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</si>
  <si>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</si>
  <si>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</si>
  <si>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</si>
  <si>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</si>
  <si>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</si>
  <si>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</si>
  <si>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</si>
  <si>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</si>
  <si>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</si>
  <si>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</si>
  <si>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</si>
  <si>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</si>
  <si>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</si>
  <si>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</si>
  <si>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</si>
  <si>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</si>
  <si>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</si>
  <si>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</si>
  <si>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</si>
  <si>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</si>
  <si>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</si>
  <si>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</si>
  <si>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</si>
  <si>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</si>
  <si>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</si>
  <si>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</si>
  <si>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</si>
  <si>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</si>
  <si>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</si>
  <si>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</si>
  <si>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</si>
  <si>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</si>
  <si>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</si>
  <si>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</si>
  <si>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</si>
  <si>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</si>
  <si>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</si>
  <si>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</si>
  <si>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</si>
  <si>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</si>
  <si>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</si>
  <si>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</si>
  <si>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</si>
  <si>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</si>
  <si>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</si>
  <si>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</si>
  <si>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</si>
  <si>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</si>
  <si>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</si>
  <si>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</si>
  <si>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</si>
  <si>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</si>
  <si>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</si>
  <si>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</si>
  <si>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</si>
  <si>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</si>
  <si>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</si>
  <si>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</si>
  <si>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</si>
  <si>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</si>
  <si>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</si>
  <si>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</si>
  <si>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</si>
  <si>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</si>
  <si>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</si>
  <si>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</si>
  <si>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</si>
  <si>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</si>
  <si>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</si>
  <si>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</si>
  <si>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</si>
  <si>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</si>
  <si>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</si>
  <si>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</si>
  <si>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</si>
  <si>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</si>
  <si>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</si>
  <si>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</si>
  <si>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</si>
  <si>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</si>
  <si>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</si>
  <si>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</si>
  <si>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</si>
  <si>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</si>
  <si>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</si>
  <si>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</si>
  <si>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</si>
  <si>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</si>
  <si>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</si>
  <si>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</si>
  <si>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</si>
  <si>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</si>
  <si>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</si>
  <si>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</si>
  <si>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</si>
  <si>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</si>
  <si>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</si>
  <si>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</si>
  <si>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</si>
  <si>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</si>
  <si>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</si>
  <si>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</si>
  <si>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</si>
  <si>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</si>
  <si>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</si>
  <si>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</si>
  <si>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</si>
  <si>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</si>
  <si>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</si>
  <si>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</si>
  <si>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</si>
  <si>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</si>
  <si>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</si>
  <si>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</si>
  <si>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</si>
  <si>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</si>
  <si>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</si>
  <si>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</si>
  <si>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</si>
  <si>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</si>
  <si>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</si>
  <si>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</si>
  <si>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</si>
  <si>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</si>
  <si>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</si>
  <si>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</si>
  <si>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</si>
  <si>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</si>
  <si>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</si>
  <si>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</si>
  <si>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</si>
  <si>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</si>
  <si>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</si>
  <si>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</si>
  <si>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</si>
  <si>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</si>
  <si>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</si>
  <si>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</si>
  <si>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</si>
  <si>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</si>
  <si>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</si>
  <si>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</si>
  <si>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</si>
  <si>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</si>
  <si>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</si>
  <si>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</si>
  <si>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</si>
  <si>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</si>
  <si>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</si>
  <si>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</si>
  <si>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</si>
  <si>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</si>
  <si>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</si>
  <si>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</si>
  <si>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</si>
  <si>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</si>
  <si>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</si>
  <si>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</si>
  <si>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</si>
  <si>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</si>
  <si>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</si>
  <si>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</si>
  <si>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</si>
  <si>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</si>
  <si>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</si>
  <si>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</si>
  <si>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</si>
  <si>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</si>
  <si>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</si>
  <si>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</si>
  <si>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</si>
  <si>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</si>
  <si>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</si>
  <si>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</si>
  <si>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</si>
  <si>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</si>
  <si>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</si>
  <si>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</si>
  <si>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</si>
  <si>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</si>
  <si>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</si>
  <si>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</si>
  <si>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</si>
  <si>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</si>
  <si>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</si>
  <si>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</si>
  <si>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</si>
  <si>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</si>
  <si>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</si>
  <si>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</si>
  <si>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</si>
  <si>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</si>
  <si>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</si>
  <si>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</si>
  <si>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</si>
  <si>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</si>
  <si>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</si>
  <si>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</si>
  <si>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</si>
  <si>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</si>
  <si>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</si>
  <si>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</si>
  <si>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</si>
  <si>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</si>
  <si>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</si>
  <si>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</si>
  <si>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</si>
  <si>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</si>
  <si>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</si>
  <si>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</si>
  <si>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</si>
  <si>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</si>
  <si>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</si>
  <si>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</si>
  <si>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</si>
  <si>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</si>
  <si>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</si>
  <si>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</si>
  <si>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</si>
  <si>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</si>
  <si>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</si>
  <si>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</si>
  <si>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</si>
  <si>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</si>
  <si>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</si>
  <si>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</si>
  <si>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</si>
  <si>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</si>
  <si>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</si>
  <si>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</si>
  <si>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</si>
  <si>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</si>
  <si>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</si>
  <si>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</si>
  <si>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</si>
  <si>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</si>
  <si>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</si>
  <si>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</si>
  <si>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</si>
  <si>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</si>
  <si>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</si>
  <si>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</si>
  <si>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</si>
  <si>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</si>
  <si>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</si>
  <si>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</si>
  <si>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</si>
  <si>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</si>
  <si>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</si>
  <si>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</si>
  <si>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</si>
  <si>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</si>
  <si>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</si>
  <si>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</si>
  <si>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</si>
  <si>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</si>
  <si>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</si>
  <si>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</si>
  <si>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</si>
  <si>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</si>
  <si>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</si>
  <si>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</si>
  <si>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</si>
  <si>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</si>
  <si>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</si>
  <si>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</si>
  <si>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</si>
  <si>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</si>
  <si>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</si>
  <si>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</si>
  <si>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</si>
  <si>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</si>
  <si>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</si>
  <si>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</si>
  <si>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</si>
  <si>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</si>
  <si>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</si>
  <si>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</si>
  <si>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</si>
  <si>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</si>
  <si>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</si>
  <si>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</si>
  <si>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</si>
  <si>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</si>
  <si>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</si>
  <si>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</si>
  <si>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</si>
  <si>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</si>
  <si>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</si>
  <si>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</si>
  <si>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</si>
  <si>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</si>
  <si>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</si>
  <si>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</si>
  <si>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</si>
  <si>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</si>
  <si>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</si>
  <si>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</si>
  <si>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</si>
  <si>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</si>
  <si>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</si>
  <si>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</si>
  <si>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</si>
  <si>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</si>
  <si>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</si>
  <si>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</si>
  <si>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</si>
  <si>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</si>
  <si>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</si>
  <si>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</si>
  <si>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</si>
  <si>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</si>
  <si>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</si>
  <si>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</si>
  <si>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</si>
  <si>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</si>
  <si>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</si>
  <si>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</si>
  <si>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</si>
  <si>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</si>
  <si>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</si>
  <si>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</si>
  <si>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</si>
  <si>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</si>
  <si>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</si>
  <si>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</si>
  <si>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</si>
  <si>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</si>
  <si>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</si>
  <si>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</si>
  <si>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</si>
  <si>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</si>
  <si>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</si>
  <si>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</si>
  <si>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</si>
  <si>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</si>
  <si>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</si>
  <si>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</si>
  <si>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</si>
  <si>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</si>
  <si>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</si>
  <si>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</si>
  <si>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</si>
  <si>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</si>
  <si>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</si>
  <si>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</si>
  <si>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</si>
  <si>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</si>
  <si>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</si>
  <si>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</si>
  <si>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</si>
  <si>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</si>
  <si>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</si>
  <si>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</si>
  <si>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</si>
  <si>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</si>
  <si>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</si>
  <si>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</si>
  <si>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</si>
  <si>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</si>
  <si>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</si>
  <si>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</si>
  <si>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</si>
  <si>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</si>
  <si>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</si>
  <si>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</si>
  <si>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</si>
  <si>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</si>
  <si>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</si>
  <si>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</si>
  <si>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</si>
  <si>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</si>
  <si>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</si>
  <si>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</si>
  <si>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</si>
  <si>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</si>
  <si>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</si>
  <si>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</si>
  <si>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</si>
  <si>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</si>
  <si>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</si>
  <si>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</si>
  <si>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</si>
  <si>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</si>
  <si>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</si>
  <si>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</si>
  <si>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</si>
  <si>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</si>
  <si>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</si>
  <si>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</si>
  <si>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</si>
  <si>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</si>
  <si>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</si>
  <si>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</si>
  <si>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</si>
  <si>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</si>
  <si>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</si>
  <si>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</si>
  <si>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</si>
  <si>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</si>
  <si>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</si>
  <si>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</si>
  <si>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</si>
  <si>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</si>
  <si>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</si>
  <si>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</si>
  <si>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</si>
  <si>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</si>
  <si>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</si>
  <si>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</si>
  <si>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</si>
  <si>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</si>
  <si>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</si>
  <si>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</si>
  <si>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</si>
  <si>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</si>
  <si>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</si>
  <si>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</si>
  <si>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</si>
  <si>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</si>
  <si>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</si>
  <si>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</si>
  <si>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</si>
  <si>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</si>
  <si>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</si>
  <si>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</si>
  <si>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</si>
  <si>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</si>
  <si>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</si>
  <si>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</si>
  <si>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</si>
  <si>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</si>
  <si>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</si>
  <si>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</si>
  <si>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</si>
  <si>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</si>
  <si>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</si>
  <si>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</si>
  <si>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</si>
  <si>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</si>
  <si>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</si>
  <si>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</si>
  <si>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</si>
  <si>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</si>
  <si>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</si>
  <si>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</si>
  <si>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</si>
  <si>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</si>
  <si>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</si>
  <si>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</si>
  <si>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</si>
  <si>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</si>
  <si>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</si>
  <si>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</si>
  <si>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</si>
  <si>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</si>
  <si>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</si>
  <si>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</si>
  <si>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</si>
  <si>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</si>
  <si>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</si>
  <si>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</si>
  <si>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</si>
  <si>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</si>
  <si>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</si>
  <si>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</si>
  <si>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</si>
  <si>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</si>
  <si>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</si>
  <si>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</si>
  <si>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</si>
  <si>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</si>
  <si>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</si>
  <si>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</si>
  <si>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</si>
  <si>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</si>
  <si>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</si>
  <si>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</si>
  <si>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</si>
  <si>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</si>
  <si>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</si>
  <si>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</si>
  <si>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</si>
  <si>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</si>
  <si>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</si>
  <si>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</si>
  <si>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</si>
  <si>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</si>
  <si>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</si>
  <si>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</si>
  <si>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</si>
  <si>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</si>
  <si>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</si>
  <si>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</si>
  <si>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</si>
  <si>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</si>
  <si>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</si>
  <si>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</si>
  <si>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</si>
  <si>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</si>
  <si>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</si>
  <si>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</si>
  <si>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</si>
  <si>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</si>
  <si>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</si>
  <si>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</si>
  <si>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</si>
  <si>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</si>
  <si>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</si>
  <si>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</si>
  <si>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</si>
  <si>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</si>
  <si>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</si>
  <si>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</si>
  <si>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</si>
  <si>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</si>
  <si>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</si>
  <si>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</si>
  <si>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</si>
  <si>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</si>
  <si>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</si>
  <si>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</si>
  <si>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</si>
  <si>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</si>
  <si>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</si>
  <si>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</si>
  <si>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</si>
  <si>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</si>
  <si>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</si>
  <si>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</si>
  <si>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</si>
  <si>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</si>
  <si>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</si>
  <si>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</si>
  <si>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</si>
  <si>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</si>
  <si>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</si>
  <si>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</si>
  <si>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</si>
  <si>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</si>
  <si>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</si>
  <si>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</si>
  <si>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</si>
  <si>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</si>
  <si>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</si>
  <si>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</si>
  <si>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</si>
  <si>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</si>
  <si>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</si>
  <si>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</si>
  <si>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</si>
  <si>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</si>
  <si>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</si>
  <si>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</si>
  <si>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</si>
  <si>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</si>
  <si>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</si>
  <si>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</si>
  <si>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</si>
  <si>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</si>
  <si>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</si>
  <si>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</si>
  <si>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</si>
  <si>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</si>
  <si>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</si>
  <si>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</si>
  <si>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</si>
  <si>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</si>
  <si>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</si>
  <si>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</si>
  <si>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</si>
  <si>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</si>
  <si>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</si>
  <si>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</si>
  <si>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</si>
  <si>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</si>
  <si>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</si>
  <si>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</si>
  <si>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</si>
  <si>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</si>
  <si>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</si>
  <si>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</si>
  <si>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</si>
  <si>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</si>
  <si>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7/17/2018 PM</t>
  </si>
  <si>
    <t>Currt P/L</t>
  </si>
  <si>
    <t>TotalValue</t>
  </si>
  <si>
    <t>Crrnt %P/L</t>
  </si>
  <si>
    <t>7/12/2018 PM</t>
  </si>
  <si>
    <t>36.00-&gt;35.00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</si>
</sst>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5"/>
      <tableStyleElement type="headerRow" dxfId="2734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394407.65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831296"/>
        <c:axId val="454919376"/>
      </c:scatterChart>
      <c:valAx>
        <c:axId val="35383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9376"/>
        <c:crosses val="autoZero"/>
        <c:crossBetween val="midCat"/>
      </c:valAx>
      <c:valAx>
        <c:axId val="4549193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83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94407.650000000023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15848"/>
        <c:axId val="454918200"/>
      </c:scatterChart>
      <c:valAx>
        <c:axId val="45491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8200"/>
        <c:crosses val="autoZero"/>
        <c:crossBetween val="midCat"/>
      </c:valAx>
      <c:valAx>
        <c:axId val="45491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58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18984"/>
        <c:axId val="454920552"/>
      </c:scatterChart>
      <c:valAx>
        <c:axId val="45491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20552"/>
        <c:crosses val="autoZero"/>
        <c:crossBetween val="midCat"/>
      </c:valAx>
      <c:valAx>
        <c:axId val="4549205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15064"/>
        <c:axId val="454915456"/>
      </c:scatterChart>
      <c:valAx>
        <c:axId val="45491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5456"/>
        <c:crosses val="autoZero"/>
        <c:crossBetween val="midCat"/>
      </c:valAx>
      <c:valAx>
        <c:axId val="4549154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0.26937466561430695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20160"/>
        <c:axId val="454920944"/>
      </c:scatterChart>
      <c:valAx>
        <c:axId val="45492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20944"/>
        <c:crosses val="autoZero"/>
        <c:crossBetween val="midCat"/>
      </c:valAx>
      <c:valAx>
        <c:axId val="45492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2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0.40483569495524807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17808"/>
        <c:axId val="454917024"/>
      </c:scatterChart>
      <c:valAx>
        <c:axId val="45491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7024"/>
        <c:crosses val="autoZero"/>
        <c:crossBetween val="midCat"/>
      </c:valAx>
      <c:valAx>
        <c:axId val="45491702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168330.77000000002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16240"/>
        <c:axId val="454922120"/>
      </c:scatterChart>
      <c:valAx>
        <c:axId val="45491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22120"/>
        <c:crosses val="autoZero"/>
        <c:crossBetween val="midCat"/>
      </c:valAx>
      <c:valAx>
        <c:axId val="454922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62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2.0173697640202271E-3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36720"/>
        <c:axId val="465235936"/>
      </c:scatterChart>
      <c:valAx>
        <c:axId val="4652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35936"/>
        <c:crosses val="autoZero"/>
        <c:crossBetween val="midCat"/>
      </c:valAx>
      <c:valAx>
        <c:axId val="46523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2600"/>
        <c:axId val="465237896"/>
      </c:lineChart>
      <c:dateAx>
        <c:axId val="46524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37896"/>
        <c:crosses val="autoZero"/>
        <c:auto val="1"/>
        <c:lblOffset val="100"/>
        <c:baseTimeUnit val="days"/>
      </c:dateAx>
      <c:valAx>
        <c:axId val="465237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3384"/>
        <c:axId val="465450176"/>
      </c:lineChart>
      <c:dateAx>
        <c:axId val="46524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50176"/>
        <c:crosses val="autoZero"/>
        <c:auto val="1"/>
        <c:lblOffset val="100"/>
        <c:baseTimeUnit val="days"/>
      </c:dateAx>
      <c:valAx>
        <c:axId val="4654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46256"/>
        <c:axId val="465449392"/>
      </c:lineChart>
      <c:dateAx>
        <c:axId val="46544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9392"/>
        <c:crosses val="autoZero"/>
        <c:auto val="1"/>
        <c:lblOffset val="100"/>
        <c:baseTimeUnit val="days"/>
      </c:dateAx>
      <c:valAx>
        <c:axId val="465449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46648"/>
        <c:axId val="465451352"/>
      </c:lineChart>
      <c:dateAx>
        <c:axId val="46544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51352"/>
        <c:crosses val="autoZero"/>
        <c:auto val="1"/>
        <c:lblOffset val="100"/>
        <c:baseTimeUnit val="days"/>
      </c:dateAx>
      <c:valAx>
        <c:axId val="4654513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3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3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026864"/>
        <c:axId val="469019808"/>
      </c:lineChart>
      <c:catAx>
        <c:axId val="46902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9808"/>
        <c:crosses val="autoZero"/>
        <c:auto val="1"/>
        <c:lblAlgn val="ctr"/>
        <c:lblOffset val="100"/>
        <c:noMultiLvlLbl val="0"/>
      </c:catAx>
      <c:valAx>
        <c:axId val="46901980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68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024512"/>
        <c:axId val="469025296"/>
      </c:lineChart>
      <c:dateAx>
        <c:axId val="469024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5296"/>
        <c:crosses val="autoZero"/>
        <c:auto val="1"/>
        <c:lblOffset val="100"/>
        <c:baseTimeUnit val="days"/>
      </c:dateAx>
      <c:valAx>
        <c:axId val="4690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36344"/>
        <c:axId val="484435952"/>
      </c:lineChart>
      <c:dateAx>
        <c:axId val="48443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5952"/>
        <c:crosses val="autoZero"/>
        <c:auto val="1"/>
        <c:lblOffset val="100"/>
        <c:baseTimeUnit val="days"/>
      </c:dateAx>
      <c:valAx>
        <c:axId val="484435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WBA!$E$25:$E$82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WBA!$D$25:$D$82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38696"/>
        <c:axId val="484439088"/>
      </c:lineChart>
      <c:dateAx>
        <c:axId val="48443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9088"/>
        <c:crosses val="autoZero"/>
        <c:auto val="1"/>
        <c:lblOffset val="100"/>
        <c:baseTimeUnit val="days"/>
      </c:dateAx>
      <c:valAx>
        <c:axId val="4844390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35560"/>
        <c:axId val="484437128"/>
      </c:lineChart>
      <c:dateAx>
        <c:axId val="484435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7128"/>
        <c:crosses val="autoZero"/>
        <c:auto val="1"/>
        <c:lblOffset val="100"/>
        <c:baseTimeUnit val="days"/>
      </c:dateAx>
      <c:valAx>
        <c:axId val="48443712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16240"/>
        <c:axId val="502609184"/>
      </c:lineChart>
      <c:catAx>
        <c:axId val="50261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09184"/>
        <c:crosses val="autoZero"/>
        <c:auto val="1"/>
        <c:lblAlgn val="ctr"/>
        <c:lblOffset val="100"/>
        <c:noMultiLvlLbl val="0"/>
      </c:catAx>
      <c:valAx>
        <c:axId val="502609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1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608792"/>
        <c:axId val="502614280"/>
      </c:scatterChart>
      <c:valAx>
        <c:axId val="50260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14280"/>
        <c:crosses val="autoZero"/>
        <c:crossBetween val="midCat"/>
      </c:valAx>
      <c:valAx>
        <c:axId val="50261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08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15456"/>
        <c:axId val="502613888"/>
      </c:lineChart>
      <c:catAx>
        <c:axId val="50261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13888"/>
        <c:crosses val="autoZero"/>
        <c:auto val="1"/>
        <c:lblAlgn val="ctr"/>
        <c:lblOffset val="100"/>
        <c:noMultiLvlLbl val="0"/>
      </c:catAx>
      <c:valAx>
        <c:axId val="502613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1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32752"/>
        <c:axId val="494836672"/>
      </c:lineChart>
      <c:dateAx>
        <c:axId val="49483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36672"/>
        <c:crosses val="autoZero"/>
        <c:auto val="1"/>
        <c:lblOffset val="100"/>
        <c:baseTimeUnit val="days"/>
      </c:dateAx>
      <c:valAx>
        <c:axId val="494836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3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35888"/>
        <c:axId val="494837064"/>
      </c:lineChart>
      <c:dateAx>
        <c:axId val="49483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37064"/>
        <c:crosses val="autoZero"/>
        <c:auto val="1"/>
        <c:lblOffset val="100"/>
        <c:baseTimeUnit val="days"/>
      </c:dateAx>
      <c:valAx>
        <c:axId val="4948370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3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29616"/>
        <c:axId val="494831184"/>
      </c:lineChart>
      <c:dateAx>
        <c:axId val="49482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31184"/>
        <c:crosses val="autoZero"/>
        <c:auto val="1"/>
        <c:lblOffset val="100"/>
        <c:baseTimeUnit val="days"/>
      </c:dateAx>
      <c:valAx>
        <c:axId val="494831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2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596248"/>
        <c:axId val="558599384"/>
      </c:lineChart>
      <c:dateAx>
        <c:axId val="558596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99384"/>
        <c:crosses val="autoZero"/>
        <c:auto val="1"/>
        <c:lblOffset val="100"/>
        <c:baseTimeUnit val="days"/>
      </c:dateAx>
      <c:valAx>
        <c:axId val="55859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9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98208"/>
        <c:axId val="558596640"/>
      </c:lineChart>
      <c:dateAx>
        <c:axId val="558598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96640"/>
        <c:crosses val="autoZero"/>
        <c:auto val="1"/>
        <c:lblOffset val="100"/>
        <c:baseTimeUnit val="days"/>
      </c:dateAx>
      <c:valAx>
        <c:axId val="5585966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600560"/>
        <c:axId val="558593504"/>
      </c:lineChart>
      <c:catAx>
        <c:axId val="55860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93504"/>
        <c:crosses val="autoZero"/>
        <c:auto val="1"/>
        <c:lblAlgn val="ctr"/>
        <c:lblOffset val="100"/>
        <c:noMultiLvlLbl val="0"/>
      </c:catAx>
      <c:valAx>
        <c:axId val="558593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15104"/>
        <c:axId val="505915496"/>
      </c:lineChart>
      <c:catAx>
        <c:axId val="505915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5496"/>
        <c:crosses val="autoZero"/>
        <c:auto val="1"/>
        <c:lblAlgn val="ctr"/>
        <c:lblOffset val="100"/>
        <c:noMultiLvlLbl val="0"/>
      </c:catAx>
      <c:valAx>
        <c:axId val="505915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5696"/>
        <c:axId val="505901384"/>
      </c:lineChart>
      <c:dateAx>
        <c:axId val="50590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01384"/>
        <c:crosses val="autoZero"/>
        <c:auto val="1"/>
        <c:lblOffset val="100"/>
        <c:baseTimeUnit val="days"/>
      </c:dateAx>
      <c:valAx>
        <c:axId val="505901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4520"/>
        <c:axId val="505906480"/>
      </c:lineChart>
      <c:dateAx>
        <c:axId val="50590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06480"/>
        <c:crosses val="autoZero"/>
        <c:auto val="1"/>
        <c:lblOffset val="100"/>
        <c:baseTimeUnit val="days"/>
      </c:dateAx>
      <c:valAx>
        <c:axId val="5059064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0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1776"/>
        <c:axId val="505907656"/>
      </c:lineChart>
      <c:catAx>
        <c:axId val="505901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07656"/>
        <c:crosses val="autoZero"/>
        <c:auto val="1"/>
        <c:lblAlgn val="ctr"/>
        <c:lblOffset val="100"/>
        <c:noMultiLvlLbl val="0"/>
      </c:catAx>
      <c:valAx>
        <c:axId val="5059076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0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587952"/>
        <c:axId val="561589128"/>
      </c:lineChart>
      <c:dateAx>
        <c:axId val="561587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89128"/>
        <c:crosses val="autoZero"/>
        <c:auto val="1"/>
        <c:lblOffset val="100"/>
        <c:baseTimeUnit val="days"/>
      </c:dateAx>
      <c:valAx>
        <c:axId val="561589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4" dataDxfId="483">
  <autoFilter ref="O15:W26"/>
  <tableColumns count="9">
    <tableColumn id="1" name="Date" dataDxfId="482"/>
    <tableColumn id="2" name="Quarter" dataDxfId="481"/>
    <tableColumn id="3" name="Time" dataDxfId="480"/>
    <tableColumn id="4" name="EPS estimate" dataDxfId="479"/>
    <tableColumn id="5" name="EPS Actual" dataDxfId="478"/>
    <tableColumn id="6" name="Sales Estiamte (B)" dataDxfId="477"/>
    <tableColumn id="7" name="Sales Actual (B)" dataDxfId="476"/>
    <tableColumn id="8" name="Guidance" dataDxfId="475"/>
    <tableColumn id="9" name="Reaction" dataDxfId="4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5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V13" sqref="V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1175</v>
      </c>
      <c r="J1" s="57" t="s">
        <v>74</v>
      </c>
      <c r="K1" s="357" t="s">
        <v>1174</v>
      </c>
      <c r="L1" s="346" t="s">
        <v>1176</v>
      </c>
      <c r="M1" s="357" t="s">
        <v>178</v>
      </c>
      <c r="N1" s="57" t="s">
        <v>229</v>
      </c>
      <c r="O1" s="834" t="s">
        <v>946</v>
      </c>
      <c r="P1" s="346" t="s">
        <v>206</v>
      </c>
      <c r="Q1" s="346" t="s">
        <v>278</v>
      </c>
      <c r="R1" s="357" t="s">
        <v>973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195</v>
      </c>
      <c r="F2" s="78">
        <v>29.12</v>
      </c>
      <c r="G2" s="78">
        <v>27.715833333333347</v>
      </c>
      <c r="H2">
        <v>1500</v>
      </c>
      <c r="I2" s="2">
        <v>43680</v>
      </c>
      <c r="J2" s="2">
        <v>41573.750000000022</v>
      </c>
      <c r="K2" s="2">
        <v>2106.2499999999709</v>
      </c>
      <c r="L2" s="736">
        <v>5.0662978441925022E-2</v>
      </c>
      <c r="M2" s="2">
        <v>3854.2199999999648</v>
      </c>
      <c r="N2" s="29">
        <v>43297</v>
      </c>
      <c r="O2" t="s">
        <v>1156</v>
      </c>
      <c r="P2" s="736">
        <v>1.9230769230769232E-2</v>
      </c>
      <c r="Q2" s="736">
        <v>-3.5000000000000001E-3</v>
      </c>
      <c r="R2" s="2">
        <v>14.033734939759036</v>
      </c>
      <c r="S2" s="736"/>
      <c r="T2" s="48"/>
      <c r="U2" s="48"/>
    </row>
    <row r="3" spans="1:41" ht="21.95" customHeight="1" x14ac:dyDescent="0.25">
      <c r="A3" s="50"/>
      <c r="B3" s="50"/>
      <c r="C3" s="51"/>
      <c r="D3" s="788"/>
      <c r="E3" s="22" t="s">
        <v>50</v>
      </c>
      <c r="F3" s="2">
        <v>21.09</v>
      </c>
      <c r="G3" s="78">
        <v>7.9015249999999648</v>
      </c>
      <c r="H3">
        <v>2000</v>
      </c>
      <c r="I3" s="2">
        <v>42180</v>
      </c>
      <c r="J3" s="2">
        <v>15803.04999999993</v>
      </c>
      <c r="K3" s="2">
        <v>26376.95000000007</v>
      </c>
      <c r="L3" s="736">
        <v>1.6691050145383448</v>
      </c>
      <c r="M3" s="2">
        <v>40992.521000001696</v>
      </c>
      <c r="N3">
        <v>300</v>
      </c>
      <c r="O3" t="s">
        <v>1122</v>
      </c>
      <c r="P3" s="736">
        <v>9.4831673779042207E-3</v>
      </c>
      <c r="Q3" s="736">
        <v>-2.6800000000000001E-2</v>
      </c>
      <c r="R3" s="2">
        <v>33.476190476190474</v>
      </c>
      <c r="S3" s="736"/>
      <c r="U3" s="48"/>
    </row>
    <row r="4" spans="1:41" ht="21.95" customHeight="1" x14ac:dyDescent="0.25">
      <c r="A4" s="50"/>
      <c r="B4" s="50"/>
      <c r="C4" s="51"/>
      <c r="D4" s="788"/>
      <c r="E4" s="22" t="s">
        <v>918</v>
      </c>
      <c r="F4" s="2">
        <v>128.47</v>
      </c>
      <c r="G4" s="78">
        <v>126.87489999999998</v>
      </c>
      <c r="H4">
        <v>100</v>
      </c>
      <c r="I4" s="2">
        <v>12847</v>
      </c>
      <c r="J4" s="2">
        <v>12687.489999999998</v>
      </c>
      <c r="K4" s="2">
        <v>159.51000000000204</v>
      </c>
      <c r="L4" s="736">
        <v>1.2572226657912768E-2</v>
      </c>
      <c r="M4" s="2">
        <v>159.51000000000204</v>
      </c>
      <c r="N4">
        <v>30</v>
      </c>
      <c r="O4" t="s">
        <v>1132</v>
      </c>
      <c r="P4" s="736">
        <v>4.047637580758154E-3</v>
      </c>
      <c r="Q4" s="736">
        <v>-4.5100000000000001E-2</v>
      </c>
      <c r="R4" s="2">
        <v>14.903712296983761</v>
      </c>
      <c r="S4" s="736"/>
      <c r="T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735</v>
      </c>
      <c r="F5" s="2">
        <v>63.3</v>
      </c>
      <c r="G5" s="78">
        <v>62.082000000000043</v>
      </c>
      <c r="H5">
        <v>200</v>
      </c>
      <c r="I5" s="2">
        <v>12660</v>
      </c>
      <c r="J5" s="2">
        <v>12416.400000000009</v>
      </c>
      <c r="K5" s="2">
        <v>243.59999999999127</v>
      </c>
      <c r="L5" s="736">
        <v>1.961921329853988E-2</v>
      </c>
      <c r="M5" s="2">
        <v>243.59999999999127</v>
      </c>
      <c r="N5" s="29">
        <v>43311</v>
      </c>
      <c r="O5" t="s">
        <v>1166</v>
      </c>
      <c r="P5" s="736">
        <v>2.5276461295418644E-2</v>
      </c>
      <c r="Q5" s="736">
        <v>2.6700000000000002E-2</v>
      </c>
      <c r="R5" s="2">
        <v>10.594142259414227</v>
      </c>
      <c r="S5" s="736"/>
      <c r="T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8"/>
      <c r="E6" s="22" t="s">
        <v>32</v>
      </c>
      <c r="F6" s="2">
        <v>49.58</v>
      </c>
      <c r="G6" s="78">
        <v>47.110650000000007</v>
      </c>
      <c r="H6">
        <v>200</v>
      </c>
      <c r="I6" s="2">
        <v>9916</v>
      </c>
      <c r="J6" s="2">
        <v>9422.130000000001</v>
      </c>
      <c r="K6" s="2">
        <v>493.86999999999898</v>
      </c>
      <c r="L6" s="736">
        <v>5.2415961146789342E-2</v>
      </c>
      <c r="M6" s="2">
        <v>1692.3399999999961</v>
      </c>
      <c r="N6">
        <v>100</v>
      </c>
      <c r="O6" t="s">
        <v>1177</v>
      </c>
      <c r="P6" s="736">
        <v>2.4606696248487294E-2</v>
      </c>
      <c r="Q6" s="736">
        <v>9.7999999999999997E-3</v>
      </c>
      <c r="R6" s="2">
        <v>7.9455128205128203</v>
      </c>
      <c r="S6" s="48"/>
    </row>
    <row r="7" spans="1:41" ht="21.95" customHeight="1" x14ac:dyDescent="0.25">
      <c r="A7" s="50"/>
      <c r="B7" s="50"/>
      <c r="C7" s="51"/>
      <c r="D7" s="788"/>
      <c r="E7" s="22" t="s">
        <v>824</v>
      </c>
      <c r="F7" s="2">
        <v>23.08</v>
      </c>
      <c r="G7" s="78">
        <v>30.841699999999999</v>
      </c>
      <c r="H7">
        <v>400</v>
      </c>
      <c r="I7" s="2">
        <v>9232</v>
      </c>
      <c r="J7" s="2">
        <v>12336.68</v>
      </c>
      <c r="K7" s="2">
        <v>-3104.6800000000003</v>
      </c>
      <c r="L7" s="736">
        <v>-0.25166252184542359</v>
      </c>
      <c r="M7" s="2">
        <v>-3104.6800000000003</v>
      </c>
      <c r="N7">
        <v>300</v>
      </c>
      <c r="O7"/>
      <c r="P7" s="736">
        <v>4.5060658578856154E-2</v>
      </c>
      <c r="Q7" s="736">
        <v>-5.7000000000000002E-3</v>
      </c>
      <c r="R7" s="2">
        <v>13.576470588235294</v>
      </c>
      <c r="S7" s="48"/>
      <c r="U7" s="48"/>
    </row>
    <row r="8" spans="1:41" ht="21.95" customHeight="1" x14ac:dyDescent="0.25">
      <c r="A8" s="50"/>
      <c r="B8" s="51"/>
      <c r="C8" s="51"/>
      <c r="D8" s="788"/>
      <c r="E8" s="22" t="s">
        <v>964</v>
      </c>
      <c r="F8" s="2">
        <v>45.38</v>
      </c>
      <c r="G8" s="78">
        <v>49.396250000000002</v>
      </c>
      <c r="H8">
        <v>200</v>
      </c>
      <c r="I8" s="2">
        <v>9076</v>
      </c>
      <c r="J8" s="2">
        <v>9879.25</v>
      </c>
      <c r="K8" s="2">
        <v>-803.25</v>
      </c>
      <c r="L8" s="736">
        <v>-8.1306779360781414E-2</v>
      </c>
      <c r="M8" s="2">
        <v>-803.25</v>
      </c>
      <c r="N8">
        <v>200</v>
      </c>
      <c r="O8"/>
      <c r="P8" s="736">
        <v>1.9900000000000001E-2</v>
      </c>
      <c r="Q8" s="736">
        <v>8.5000000000000006E-3</v>
      </c>
      <c r="R8" s="2">
        <v>17.453846153846154</v>
      </c>
    </row>
    <row r="9" spans="1:41" ht="21.95" customHeight="1" x14ac:dyDescent="0.25">
      <c r="A9" s="50"/>
      <c r="B9" s="50"/>
      <c r="C9" s="51"/>
      <c r="D9" s="788"/>
      <c r="E9" s="22" t="s">
        <v>14</v>
      </c>
      <c r="F9" s="2">
        <v>58.29</v>
      </c>
      <c r="G9" s="78">
        <v>58.980266666666672</v>
      </c>
      <c r="H9">
        <v>150</v>
      </c>
      <c r="I9" s="2">
        <v>8743.5</v>
      </c>
      <c r="J9" s="2">
        <v>8847.0400000000009</v>
      </c>
      <c r="K9" s="2">
        <v>-103.54000000000087</v>
      </c>
      <c r="L9" s="736">
        <v>-1.1703349368828555E-2</v>
      </c>
      <c r="M9" s="2">
        <v>-103.54000000000087</v>
      </c>
      <c r="N9">
        <v>100</v>
      </c>
      <c r="O9" t="s">
        <v>1138</v>
      </c>
      <c r="P9" s="736">
        <v>4.5290787442099849E-2</v>
      </c>
      <c r="Q9" s="736">
        <v>2.07E-2</v>
      </c>
      <c r="R9" s="2">
        <v>14.701134930643128</v>
      </c>
      <c r="S9" s="48"/>
      <c r="T9" s="48"/>
      <c r="V9" s="48"/>
    </row>
    <row r="10" spans="1:41" ht="21.95" customHeight="1" x14ac:dyDescent="0.25">
      <c r="A10" s="51"/>
      <c r="B10" s="152"/>
      <c r="C10" s="325"/>
      <c r="D10" s="788"/>
      <c r="E10" s="22" t="s">
        <v>225</v>
      </c>
      <c r="F10" s="2">
        <v>28.12</v>
      </c>
      <c r="G10" s="78">
        <v>14.744499999999874</v>
      </c>
      <c r="H10">
        <v>300</v>
      </c>
      <c r="I10" s="2">
        <v>8436</v>
      </c>
      <c r="J10" s="2">
        <v>4423.3499999999622</v>
      </c>
      <c r="K10" s="2">
        <v>4012.6500000000378</v>
      </c>
      <c r="L10" s="736">
        <v>0.90715181932247557</v>
      </c>
      <c r="M10" s="2">
        <v>5464.9100000000362</v>
      </c>
      <c r="N10">
        <v>100</v>
      </c>
      <c r="O10"/>
      <c r="P10" s="736">
        <v>3.5561877667140826E-3</v>
      </c>
      <c r="Q10" s="736">
        <v>6.4999999999999997E-3</v>
      </c>
      <c r="R10" s="2">
        <v>20.085714285714289</v>
      </c>
      <c r="T10" s="48"/>
      <c r="X10" s="736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 s="2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958</v>
      </c>
      <c r="F11" s="2">
        <v>33.58</v>
      </c>
      <c r="G11" s="78">
        <v>32.480520000000006</v>
      </c>
      <c r="H11">
        <v>250</v>
      </c>
      <c r="I11" s="2">
        <v>8395</v>
      </c>
      <c r="J11" s="2">
        <v>8120.130000000001</v>
      </c>
      <c r="K11" s="2">
        <v>274.86999999999898</v>
      </c>
      <c r="L11" s="736">
        <v>3.3850443281080243E-2</v>
      </c>
      <c r="M11" s="2">
        <v>274.86999999999898</v>
      </c>
      <c r="N11">
        <v>100</v>
      </c>
      <c r="O11"/>
      <c r="P11" s="736">
        <v>1.9900000000000001E-2</v>
      </c>
      <c r="Q11" s="736">
        <v>8.9999999999999998E-4</v>
      </c>
      <c r="R11" s="2">
        <v>13.431999999999999</v>
      </c>
      <c r="S11" s="736"/>
      <c r="T11" s="48"/>
    </row>
    <row r="12" spans="1:41" ht="21.95" customHeight="1" x14ac:dyDescent="0.25">
      <c r="A12" s="50"/>
      <c r="B12" s="50"/>
      <c r="C12" s="51"/>
      <c r="D12" s="788"/>
      <c r="E12" s="22" t="s">
        <v>174</v>
      </c>
      <c r="F12" s="2">
        <v>27.42</v>
      </c>
      <c r="G12" s="78">
        <v>35.466428571428544</v>
      </c>
      <c r="H12">
        <v>280</v>
      </c>
      <c r="I12" s="2">
        <v>7677.6</v>
      </c>
      <c r="J12" s="2">
        <v>9930.5999999999931</v>
      </c>
      <c r="K12" s="2">
        <v>-2252.9999999999909</v>
      </c>
      <c r="L12" s="736">
        <v>-0.22687450909310553</v>
      </c>
      <c r="M12" s="2">
        <v>-2177.9799999999909</v>
      </c>
      <c r="N12">
        <v>280</v>
      </c>
      <c r="O12"/>
      <c r="P12" s="736">
        <v>3.3552151714077313E-2</v>
      </c>
      <c r="Q12" s="736">
        <v>3.39E-2</v>
      </c>
      <c r="R12" s="2">
        <v>10.269662921348315</v>
      </c>
    </row>
    <row r="13" spans="1:41" ht="21.95" customHeight="1" x14ac:dyDescent="0.25">
      <c r="A13" s="50"/>
      <c r="B13" s="50"/>
      <c r="C13" s="51"/>
      <c r="D13" s="788"/>
      <c r="E13" s="22" t="s">
        <v>694</v>
      </c>
      <c r="F13" s="78">
        <v>242.61</v>
      </c>
      <c r="G13" s="78">
        <v>110.19166666666715</v>
      </c>
      <c r="H13">
        <v>30</v>
      </c>
      <c r="I13" s="2">
        <v>7278.3</v>
      </c>
      <c r="J13" s="2">
        <v>3305.7500000000146</v>
      </c>
      <c r="K13" s="2">
        <v>3972.5499999999856</v>
      </c>
      <c r="L13" s="736">
        <v>1.2017091431596365</v>
      </c>
      <c r="M13" s="2">
        <v>4197.3199999999861</v>
      </c>
      <c r="N13" s="29">
        <v>43307</v>
      </c>
      <c r="O13" t="s">
        <v>1169</v>
      </c>
      <c r="P13" s="736">
        <v>0</v>
      </c>
      <c r="Q13" s="736">
        <v>1.0999999999999999E-2</v>
      </c>
      <c r="R13" s="2">
        <v>24.776348039215687</v>
      </c>
      <c r="S13" s="736"/>
    </row>
    <row r="14" spans="1:41" ht="21.95" customHeight="1" x14ac:dyDescent="0.25">
      <c r="A14" s="50"/>
      <c r="B14" s="50"/>
      <c r="C14" s="51"/>
      <c r="D14" s="788"/>
      <c r="E14" s="22" t="s">
        <v>171</v>
      </c>
      <c r="F14" s="2">
        <v>45.04</v>
      </c>
      <c r="G14" s="78">
        <v>52.35306666666667</v>
      </c>
      <c r="H14">
        <v>150</v>
      </c>
      <c r="I14" s="2">
        <v>6756</v>
      </c>
      <c r="J14" s="2">
        <v>7852.9600000000009</v>
      </c>
      <c r="K14" s="2">
        <v>-1096.9599999999991</v>
      </c>
      <c r="L14" s="736">
        <v>-0.13968745543081851</v>
      </c>
      <c r="M14" s="2">
        <v>-1047.0099999999993</v>
      </c>
      <c r="N14">
        <v>150</v>
      </c>
      <c r="O14" t="s">
        <v>1125</v>
      </c>
      <c r="P14" s="736">
        <v>4.3516873889875664E-2</v>
      </c>
      <c r="Q14" s="736">
        <v>3.0099999999999998E-2</v>
      </c>
      <c r="R14" s="2">
        <v>14.623376623376624</v>
      </c>
      <c r="S14" s="48"/>
      <c r="T14" s="48"/>
    </row>
    <row r="15" spans="1:41" ht="21.95" customHeight="1" x14ac:dyDescent="0.25">
      <c r="A15" s="50"/>
      <c r="B15" s="51"/>
      <c r="C15" s="51"/>
      <c r="D15" s="788"/>
      <c r="E15" s="22" t="s">
        <v>269</v>
      </c>
      <c r="F15" s="2">
        <v>125.75</v>
      </c>
      <c r="G15" s="78">
        <v>119.88</v>
      </c>
      <c r="H15">
        <v>50</v>
      </c>
      <c r="I15" s="2">
        <v>6287.5</v>
      </c>
      <c r="J15" s="2">
        <v>5994</v>
      </c>
      <c r="K15" s="2">
        <v>293.5</v>
      </c>
      <c r="L15" s="736">
        <v>4.8965632298965674E-2</v>
      </c>
      <c r="M15" s="2">
        <v>448.27999999999975</v>
      </c>
      <c r="N15">
        <v>50</v>
      </c>
      <c r="O15" t="s">
        <v>1173</v>
      </c>
      <c r="P15" s="736">
        <v>2.5700000000000001E-2</v>
      </c>
      <c r="Q15" s="736">
        <v>1.8700000000000001E-2</v>
      </c>
      <c r="R15" s="2">
        <v>15.486453201970445</v>
      </c>
      <c r="S15" s="736"/>
      <c r="T15" s="48"/>
      <c r="U15" s="48"/>
    </row>
    <row r="16" spans="1:41" ht="21.95" customHeight="1" x14ac:dyDescent="0.25">
      <c r="A16" s="50"/>
      <c r="B16" s="50"/>
      <c r="C16" s="51"/>
      <c r="D16" s="788"/>
      <c r="E16" s="22" t="s">
        <v>1149</v>
      </c>
      <c r="F16" s="2">
        <v>52.48</v>
      </c>
      <c r="G16" s="78">
        <v>51.18</v>
      </c>
      <c r="H16">
        <v>100</v>
      </c>
      <c r="I16" s="2">
        <v>5248</v>
      </c>
      <c r="J16" s="2">
        <v>5118</v>
      </c>
      <c r="K16" s="2">
        <v>130</v>
      </c>
      <c r="L16" s="736">
        <v>2.5400547088706472E-2</v>
      </c>
      <c r="M16" s="2">
        <v>130</v>
      </c>
      <c r="N16" s="29">
        <v>43311</v>
      </c>
      <c r="O16"/>
      <c r="P16" s="736">
        <v>3.3536585365853661E-2</v>
      </c>
      <c r="Q16" s="736">
        <v>-2.3E-3</v>
      </c>
      <c r="R16" s="2">
        <v>6.0881670533642689</v>
      </c>
      <c r="U16" s="48"/>
    </row>
    <row r="17" spans="1:41" ht="21.95" customHeight="1" x14ac:dyDescent="0.25">
      <c r="A17" s="50"/>
      <c r="B17" s="50"/>
      <c r="C17" s="51"/>
      <c r="D17" s="788"/>
      <c r="E17" s="22" t="s">
        <v>1044</v>
      </c>
      <c r="F17" s="2">
        <v>52.22</v>
      </c>
      <c r="G17" s="78">
        <v>48.044899999999998</v>
      </c>
      <c r="H17">
        <v>100</v>
      </c>
      <c r="I17" s="2">
        <v>5222</v>
      </c>
      <c r="J17" s="2">
        <v>4804.49</v>
      </c>
      <c r="K17" s="2">
        <v>417.51000000000022</v>
      </c>
      <c r="L17" s="736">
        <v>8.6899962326906721E-2</v>
      </c>
      <c r="M17" s="2">
        <v>417.51000000000022</v>
      </c>
      <c r="N17">
        <v>100</v>
      </c>
      <c r="O17"/>
      <c r="P17" s="736">
        <v>2.8724626579854463E-2</v>
      </c>
      <c r="Q17" s="736">
        <v>1.38E-2</v>
      </c>
      <c r="R17" s="2"/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1"/>
      <c r="B18" s="152"/>
      <c r="C18" s="325"/>
      <c r="D18" s="788"/>
      <c r="E18" s="22" t="s">
        <v>922</v>
      </c>
      <c r="F18" s="2">
        <v>73.099999999999994</v>
      </c>
      <c r="G18" s="78">
        <v>65.593999999999994</v>
      </c>
      <c r="H18">
        <v>60</v>
      </c>
      <c r="I18" s="2">
        <v>4386</v>
      </c>
      <c r="J18" s="2">
        <v>3935.6399999999994</v>
      </c>
      <c r="K18" s="2">
        <v>450.36000000000013</v>
      </c>
      <c r="L18" s="736">
        <v>0.1144311979754246</v>
      </c>
      <c r="M18" s="2">
        <v>450.36000000000013</v>
      </c>
      <c r="N18">
        <v>60</v>
      </c>
      <c r="O18"/>
      <c r="P18" s="736">
        <v>1.3132694938440492E-2</v>
      </c>
      <c r="Q18" s="736">
        <v>1.5E-3</v>
      </c>
      <c r="R18" s="2">
        <v>20.591549295774648</v>
      </c>
      <c r="S18" s="736"/>
      <c r="W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681</v>
      </c>
      <c r="F19" s="78">
        <v>209.62</v>
      </c>
      <c r="G19" s="78">
        <v>142.98999999999995</v>
      </c>
      <c r="H19">
        <v>20</v>
      </c>
      <c r="I19" s="2">
        <v>4192.3999999999996</v>
      </c>
      <c r="J19" s="2">
        <v>2859.7999999999993</v>
      </c>
      <c r="K19" s="2">
        <v>1332.6000000000004</v>
      </c>
      <c r="L19" s="736">
        <v>0.46597664172319797</v>
      </c>
      <c r="M19" s="2">
        <v>1475.6300000000006</v>
      </c>
      <c r="N19">
        <v>20</v>
      </c>
      <c r="O19"/>
      <c r="P19" s="736">
        <v>2.3852685812422478E-3</v>
      </c>
      <c r="Q19" s="736">
        <v>9.7999999999999997E-3</v>
      </c>
      <c r="R19" s="2">
        <v>30.556851311953352</v>
      </c>
      <c r="S19" s="48"/>
      <c r="T19" s="48"/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1"/>
      <c r="C20" s="51"/>
      <c r="D20" s="788"/>
      <c r="E20" s="22" t="s">
        <v>781</v>
      </c>
      <c r="F20" s="2">
        <v>13.85</v>
      </c>
      <c r="G20" s="78">
        <v>15.418666666666669</v>
      </c>
      <c r="H20">
        <v>300</v>
      </c>
      <c r="I20" s="2">
        <v>4155</v>
      </c>
      <c r="J20" s="2">
        <v>4625.6000000000004</v>
      </c>
      <c r="K20" s="2">
        <v>-470.60000000000036</v>
      </c>
      <c r="L20" s="736">
        <v>-0.10173815288827409</v>
      </c>
      <c r="M20" s="2">
        <v>-470.60000000000036</v>
      </c>
      <c r="N20">
        <v>200</v>
      </c>
      <c r="O20"/>
      <c r="P20" s="736">
        <v>3.4657039711191336E-2</v>
      </c>
      <c r="Q20" s="736">
        <v>4.4999999999999997E-3</v>
      </c>
      <c r="R20" s="2">
        <v>14.578947368421053</v>
      </c>
      <c r="S20" s="48"/>
    </row>
    <row r="21" spans="1:41" ht="21.95" customHeight="1" x14ac:dyDescent="0.25">
      <c r="A21" s="50"/>
      <c r="B21" s="51"/>
      <c r="C21" s="51"/>
      <c r="D21" s="788"/>
      <c r="E21" s="22" t="s">
        <v>849</v>
      </c>
      <c r="F21" s="2">
        <v>96.05</v>
      </c>
      <c r="G21" s="78">
        <v>82.575749999999942</v>
      </c>
      <c r="H21">
        <v>40</v>
      </c>
      <c r="I21" s="2">
        <v>3842</v>
      </c>
      <c r="J21" s="2">
        <v>3303.0299999999979</v>
      </c>
      <c r="K21" s="2">
        <v>538.97000000000116</v>
      </c>
      <c r="L21" s="736">
        <v>0.16317441863985568</v>
      </c>
      <c r="M21" s="2">
        <v>538.97000000000116</v>
      </c>
      <c r="N21">
        <v>40</v>
      </c>
      <c r="O21"/>
      <c r="P21" s="736">
        <v>2.3737636647579385E-2</v>
      </c>
      <c r="Q21" s="736">
        <v>2.3099999999999999E-2</v>
      </c>
      <c r="R21" s="2">
        <v>20.178571428571431</v>
      </c>
      <c r="S21" s="736"/>
    </row>
    <row r="22" spans="1:41" ht="21.95" customHeight="1" x14ac:dyDescent="0.25">
      <c r="A22" s="50"/>
      <c r="B22" s="50"/>
      <c r="C22" s="51"/>
      <c r="D22" s="788"/>
      <c r="E22" s="22" t="s">
        <v>920</v>
      </c>
      <c r="F22" s="2">
        <v>32.68</v>
      </c>
      <c r="G22" s="78">
        <v>32.211599999999997</v>
      </c>
      <c r="H22">
        <v>100</v>
      </c>
      <c r="I22" s="2">
        <v>3268</v>
      </c>
      <c r="J22" s="2">
        <v>3221.16</v>
      </c>
      <c r="K22" s="2">
        <v>46.840000000000146</v>
      </c>
      <c r="L22" s="736">
        <v>1.4541345353847764E-2</v>
      </c>
      <c r="M22" s="2">
        <v>46.840000000000146</v>
      </c>
      <c r="N22" s="29">
        <v>43297</v>
      </c>
      <c r="O22"/>
      <c r="P22" s="736">
        <v>3.0599755201958383E-2</v>
      </c>
      <c r="Q22" s="736">
        <v>-3.3999999999999998E-3</v>
      </c>
      <c r="R22" s="2">
        <v>9.4178674351585006</v>
      </c>
      <c r="U22" s="48"/>
    </row>
    <row r="23" spans="1:41" ht="21.95" customHeight="1" x14ac:dyDescent="0.25">
      <c r="A23" s="50"/>
      <c r="B23" s="50"/>
      <c r="C23" s="51"/>
      <c r="D23" s="788"/>
      <c r="E23" s="22" t="s">
        <v>960</v>
      </c>
      <c r="F23" s="2">
        <v>175.61</v>
      </c>
      <c r="G23" s="78">
        <v>112.24000000000039</v>
      </c>
      <c r="H23">
        <v>15</v>
      </c>
      <c r="I23" s="2">
        <v>2634.15</v>
      </c>
      <c r="J23" s="2">
        <v>1683.6000000000058</v>
      </c>
      <c r="K23" s="2">
        <v>950.54999999999427</v>
      </c>
      <c r="L23" s="736">
        <v>0.56459372772629546</v>
      </c>
      <c r="M23" s="2">
        <v>950.54999999999427</v>
      </c>
      <c r="N23" s="29">
        <v>43307</v>
      </c>
      <c r="O23"/>
      <c r="P23" s="736">
        <v>7.2888787654461591E-3</v>
      </c>
      <c r="Q23" s="736">
        <v>1.24E-2</v>
      </c>
      <c r="R23" s="2">
        <v>19.68</v>
      </c>
      <c r="S23" s="736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62</v>
      </c>
      <c r="F24" s="2">
        <v>298.81</v>
      </c>
      <c r="G24" s="78">
        <v>298.81</v>
      </c>
      <c r="H24">
        <v>0</v>
      </c>
      <c r="I24" s="2">
        <v>0</v>
      </c>
      <c r="J24" s="2">
        <v>0</v>
      </c>
      <c r="K24" s="2">
        <v>0</v>
      </c>
      <c r="L24" s="736">
        <v>0</v>
      </c>
      <c r="M24" s="2">
        <v>1659.3600000000079</v>
      </c>
      <c r="N24">
        <v>0</v>
      </c>
      <c r="O24"/>
      <c r="P24" s="736">
        <v>0</v>
      </c>
      <c r="Q24" s="736">
        <v>1.8100000000000002E-2</v>
      </c>
      <c r="R24" s="2"/>
      <c r="S24" s="736"/>
      <c r="T24" s="48"/>
      <c r="V24" s="48"/>
    </row>
    <row r="25" spans="1:41" ht="21.95" customHeight="1" x14ac:dyDescent="0.25">
      <c r="A25" s="50"/>
      <c r="B25" s="50"/>
      <c r="C25" s="51"/>
      <c r="D25" s="788"/>
      <c r="E25" s="22" t="s">
        <v>203</v>
      </c>
      <c r="F25" s="2">
        <v>36.28</v>
      </c>
      <c r="G25" s="78">
        <v>36.28</v>
      </c>
      <c r="H25">
        <v>0</v>
      </c>
      <c r="I25" s="2">
        <v>0</v>
      </c>
      <c r="J25" s="2">
        <v>0</v>
      </c>
      <c r="K25" s="2">
        <v>0</v>
      </c>
      <c r="L25" s="736">
        <v>0</v>
      </c>
      <c r="M25" s="2">
        <v>555.54</v>
      </c>
      <c r="N25">
        <v>0</v>
      </c>
      <c r="O25"/>
      <c r="P25" s="736">
        <v>0</v>
      </c>
      <c r="Q25" s="736">
        <v>8.8999999999999999E-3</v>
      </c>
      <c r="R25" s="2"/>
      <c r="V25" s="48"/>
    </row>
    <row r="26" spans="1:41" ht="21.95" customHeight="1" x14ac:dyDescent="0.25">
      <c r="A26" s="50"/>
      <c r="B26" s="51"/>
      <c r="C26" s="51"/>
      <c r="D26" s="788"/>
      <c r="E26" s="22" t="s">
        <v>213</v>
      </c>
      <c r="F26" s="2">
        <v>57.85</v>
      </c>
      <c r="G26" s="78">
        <v>57.85</v>
      </c>
      <c r="H26">
        <v>0</v>
      </c>
      <c r="I26" s="2">
        <v>0</v>
      </c>
      <c r="J26" s="2">
        <v>0</v>
      </c>
      <c r="K26" s="2">
        <v>973.83000000000175</v>
      </c>
      <c r="L26" s="736">
        <v>0</v>
      </c>
      <c r="M26" s="2">
        <v>2131.6999999999971</v>
      </c>
      <c r="N26">
        <v>0</v>
      </c>
      <c r="O26"/>
      <c r="P26" s="736">
        <v>2.5583405358686258E-2</v>
      </c>
      <c r="Q26" s="736">
        <v>3.2099999999999997E-2</v>
      </c>
      <c r="R26" s="2">
        <v>14.4625</v>
      </c>
      <c r="S26" s="736"/>
      <c r="T26" s="48"/>
    </row>
    <row r="27" spans="1:41" ht="21.95" customHeight="1" x14ac:dyDescent="0.25">
      <c r="A27" s="50"/>
      <c r="B27" s="51"/>
      <c r="C27" s="51"/>
      <c r="D27" s="788"/>
      <c r="E27" s="22" t="s">
        <v>202</v>
      </c>
      <c r="F27" s="2">
        <v>185.4</v>
      </c>
      <c r="G27" s="78">
        <v>185.4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363.09999999999945</v>
      </c>
      <c r="N27">
        <v>0</v>
      </c>
      <c r="O27"/>
      <c r="P27" s="736">
        <v>1.5900000000000001E-2</v>
      </c>
      <c r="Q27" s="736">
        <v>8.0000000000000002E-3</v>
      </c>
      <c r="R27" s="2"/>
      <c r="S27" s="48"/>
      <c r="T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1"/>
      <c r="C28" s="51"/>
      <c r="D28" s="788"/>
      <c r="E28" s="22" t="s">
        <v>224</v>
      </c>
      <c r="F28" s="78">
        <v>98.53</v>
      </c>
      <c r="G28" s="78">
        <v>98.53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231.53999999999996</v>
      </c>
      <c r="N28">
        <v>0</v>
      </c>
      <c r="O28"/>
      <c r="P28" s="736">
        <v>1.6199999999999999E-2</v>
      </c>
      <c r="Q28" s="736">
        <v>7.1000000000000004E-3</v>
      </c>
      <c r="R28" s="2"/>
      <c r="T28" s="48"/>
      <c r="V28" s="48"/>
    </row>
    <row r="29" spans="1:41" ht="21.95" customHeight="1" x14ac:dyDescent="0.25">
      <c r="A29" s="50"/>
      <c r="B29" s="50"/>
      <c r="C29" s="51"/>
      <c r="D29" s="788"/>
      <c r="E29" s="22" t="s">
        <v>265</v>
      </c>
      <c r="F29" s="2">
        <v>98.12</v>
      </c>
      <c r="G29" s="78">
        <v>98.12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1857.7799999999988</v>
      </c>
      <c r="N29">
        <v>0</v>
      </c>
      <c r="O29"/>
      <c r="P29" s="736">
        <v>1.49E-2</v>
      </c>
      <c r="Q29" s="736">
        <v>2.0000000000000001E-4</v>
      </c>
      <c r="R29" s="2"/>
      <c r="S29" s="48"/>
      <c r="T29" s="48"/>
      <c r="U29" s="48"/>
    </row>
    <row r="30" spans="1:41" ht="21.95" customHeight="1" x14ac:dyDescent="0.25">
      <c r="A30" s="50"/>
      <c r="B30" s="51"/>
      <c r="C30" s="51"/>
      <c r="D30" s="788"/>
      <c r="E30" s="22" t="s">
        <v>23</v>
      </c>
      <c r="F30" s="2">
        <v>37.25</v>
      </c>
      <c r="G30" s="78">
        <v>37.25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171.89999999999964</v>
      </c>
      <c r="N30">
        <v>0</v>
      </c>
      <c r="O30"/>
      <c r="P30" s="736">
        <v>0</v>
      </c>
      <c r="Q30" s="736">
        <v>5.4000000000000003E-3</v>
      </c>
      <c r="R30" s="2"/>
      <c r="S30" s="48"/>
    </row>
    <row r="31" spans="1:41" ht="21.95" customHeight="1" x14ac:dyDescent="0.25">
      <c r="A31" s="50"/>
      <c r="B31" s="51"/>
      <c r="C31" s="51"/>
      <c r="D31" s="788"/>
      <c r="E31" s="22" t="s">
        <v>266</v>
      </c>
      <c r="F31" s="2">
        <v>48.74</v>
      </c>
      <c r="G31" s="78">
        <v>48.74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98.449999999999818</v>
      </c>
      <c r="N31">
        <v>0</v>
      </c>
      <c r="O31"/>
      <c r="P31" s="736">
        <v>1.11E-2</v>
      </c>
      <c r="Q31" s="736">
        <v>2.8999999999999998E-3</v>
      </c>
      <c r="R31" s="2"/>
      <c r="S31" s="48"/>
      <c r="U31" s="48"/>
    </row>
    <row r="32" spans="1:41" ht="21.95" customHeight="1" x14ac:dyDescent="0.25">
      <c r="A32" s="51"/>
      <c r="B32" s="50"/>
      <c r="C32" s="51"/>
      <c r="D32" s="788"/>
      <c r="E32" s="22" t="s">
        <v>325</v>
      </c>
      <c r="F32" s="2">
        <v>11.76</v>
      </c>
      <c r="G32" s="78">
        <v>11.76</v>
      </c>
      <c r="H32">
        <v>0</v>
      </c>
      <c r="I32" s="2">
        <v>0</v>
      </c>
      <c r="J32" s="2">
        <v>0</v>
      </c>
      <c r="K32" s="2">
        <v>-1184.9399999999987</v>
      </c>
      <c r="L32" s="736">
        <v>0</v>
      </c>
      <c r="M32" s="2">
        <v>98.479999999995925</v>
      </c>
      <c r="N32">
        <v>0</v>
      </c>
      <c r="O32"/>
      <c r="P32" s="736">
        <v>0</v>
      </c>
      <c r="Q32" s="736">
        <v>2.5999999999999999E-3</v>
      </c>
      <c r="R32" s="2">
        <v>36.75</v>
      </c>
      <c r="S32" s="736"/>
      <c r="T32" s="48"/>
    </row>
    <row r="33" spans="1:41" ht="21.95" customHeight="1" x14ac:dyDescent="0.25">
      <c r="A33" s="50"/>
      <c r="B33" s="50"/>
      <c r="C33" s="51"/>
      <c r="D33" s="788"/>
      <c r="E33" s="22" t="s">
        <v>36</v>
      </c>
      <c r="F33" s="2">
        <v>51.86</v>
      </c>
      <c r="G33" s="78">
        <v>51.86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117.73999999999978</v>
      </c>
      <c r="N33">
        <v>0</v>
      </c>
      <c r="O33"/>
      <c r="P33" s="736">
        <v>0</v>
      </c>
      <c r="Q33" s="736">
        <v>6.6E-3</v>
      </c>
      <c r="R33" s="2"/>
      <c r="S33" s="48"/>
      <c r="T33" s="48"/>
      <c r="V33" s="48"/>
    </row>
    <row r="34" spans="1:41" ht="21.95" customHeight="1" x14ac:dyDescent="0.25">
      <c r="A34" s="50"/>
      <c r="B34" s="50"/>
      <c r="C34" s="51"/>
      <c r="D34" s="788"/>
      <c r="E34" s="22" t="s">
        <v>313</v>
      </c>
      <c r="F34" s="2">
        <v>40.700000000000003</v>
      </c>
      <c r="G34" s="78">
        <v>40.700000000000003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264.92000000000007</v>
      </c>
      <c r="N34">
        <v>0</v>
      </c>
      <c r="O34"/>
      <c r="P34" s="736">
        <v>3.4200000000000001E-2</v>
      </c>
      <c r="Q34" s="736">
        <v>2.5000000000000001E-3</v>
      </c>
      <c r="R34" s="2"/>
      <c r="S34" s="48"/>
      <c r="T34" s="48"/>
    </row>
    <row r="35" spans="1:41" ht="21.95" customHeight="1" x14ac:dyDescent="0.25">
      <c r="A35" s="50"/>
      <c r="B35" s="50"/>
      <c r="C35" s="50"/>
      <c r="D35" s="788"/>
      <c r="E35" s="22" t="s">
        <v>298</v>
      </c>
      <c r="F35" s="2">
        <v>55.95</v>
      </c>
      <c r="G35" s="78">
        <v>55.95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910.79999999999927</v>
      </c>
      <c r="N35">
        <v>0</v>
      </c>
      <c r="O35"/>
      <c r="P35" s="736">
        <v>2.87E-2</v>
      </c>
      <c r="Q35" s="736">
        <v>1.2699999999999999E-2</v>
      </c>
      <c r="R35" s="2"/>
      <c r="S35" s="48"/>
      <c r="U35" s="48"/>
    </row>
    <row r="36" spans="1:41" ht="21.95" customHeight="1" x14ac:dyDescent="0.25">
      <c r="A36" s="50"/>
      <c r="B36" s="50"/>
      <c r="C36" s="51"/>
      <c r="D36" s="788"/>
      <c r="E36" s="22" t="s">
        <v>693</v>
      </c>
      <c r="F36" s="2">
        <v>31.6</v>
      </c>
      <c r="G36" s="78">
        <v>31.6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557.94000000000005</v>
      </c>
      <c r="N36">
        <v>0</v>
      </c>
      <c r="O36"/>
      <c r="P36" s="736">
        <v>4.0599999999999997E-2</v>
      </c>
      <c r="Q36" s="736">
        <v>-1.9900000000000001E-2</v>
      </c>
      <c r="R36" s="2"/>
      <c r="S36" s="48"/>
      <c r="U36" s="48"/>
    </row>
    <row r="37" spans="1:41" ht="21.95" customHeight="1" x14ac:dyDescent="0.25">
      <c r="A37" s="51"/>
      <c r="B37" s="50"/>
      <c r="C37" s="51"/>
      <c r="D37" s="788"/>
      <c r="E37" s="22" t="s">
        <v>247</v>
      </c>
      <c r="F37" s="78">
        <v>74.34</v>
      </c>
      <c r="G37" s="78">
        <v>74.34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329.74000000000069</v>
      </c>
      <c r="N37">
        <v>0</v>
      </c>
      <c r="O37"/>
      <c r="P37" s="736">
        <v>0</v>
      </c>
      <c r="Q37" s="736">
        <v>1.5E-3</v>
      </c>
      <c r="R37" s="2"/>
      <c r="S37" s="48"/>
      <c r="T37" s="48"/>
    </row>
    <row r="38" spans="1:41" ht="21.95" customHeight="1" x14ac:dyDescent="0.25">
      <c r="A38" s="51"/>
      <c r="B38" s="51"/>
      <c r="C38" s="51"/>
      <c r="D38" s="788"/>
      <c r="E38" s="22" t="s">
        <v>672</v>
      </c>
      <c r="F38" s="2">
        <v>17.07</v>
      </c>
      <c r="G38" s="78">
        <v>17.07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309.26000000000022</v>
      </c>
      <c r="N38">
        <v>0</v>
      </c>
      <c r="O38"/>
      <c r="P38" s="736">
        <v>8.8000000000000005E-3</v>
      </c>
      <c r="Q38" s="736">
        <v>9.4999999999999998E-3</v>
      </c>
      <c r="R38" s="2"/>
      <c r="S38" s="736"/>
      <c r="U38" s="48"/>
    </row>
    <row r="39" spans="1:41" ht="21.95" customHeight="1" x14ac:dyDescent="0.25">
      <c r="A39" s="50"/>
      <c r="B39" s="51"/>
      <c r="C39" s="51"/>
      <c r="D39" s="788"/>
      <c r="E39" s="22" t="s">
        <v>274</v>
      </c>
      <c r="F39" s="2">
        <v>65.09</v>
      </c>
      <c r="G39" s="78">
        <v>65.09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197.20999999999549</v>
      </c>
      <c r="N39">
        <v>0</v>
      </c>
      <c r="O39"/>
      <c r="P39" s="736">
        <v>2.5499999999999998E-2</v>
      </c>
      <c r="Q39" s="736">
        <v>9.1000000000000004E-3</v>
      </c>
      <c r="R39" s="2"/>
      <c r="S39" s="48"/>
      <c r="T39" s="48"/>
      <c r="U39" s="48"/>
      <c r="V39" s="48"/>
    </row>
    <row r="40" spans="1:41" ht="21.95" customHeight="1" x14ac:dyDescent="0.25">
      <c r="A40" s="50"/>
      <c r="B40" s="51"/>
      <c r="C40" s="51"/>
      <c r="D40" s="788"/>
      <c r="E40" s="22" t="s">
        <v>736</v>
      </c>
      <c r="F40" s="2">
        <v>244.18</v>
      </c>
      <c r="G40" s="78">
        <v>244.18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843.18000000000029</v>
      </c>
      <c r="N40">
        <v>0</v>
      </c>
      <c r="O40"/>
      <c r="P40" s="736">
        <v>2.8E-3</v>
      </c>
      <c r="Q40" s="736">
        <v>8.9999999999999993E-3</v>
      </c>
      <c r="R40" s="2"/>
      <c r="S40" s="736"/>
    </row>
    <row r="41" spans="1:41" ht="21.95" customHeight="1" x14ac:dyDescent="0.25">
      <c r="A41" s="50"/>
      <c r="B41" s="50"/>
      <c r="C41" s="51"/>
      <c r="D41" s="788"/>
      <c r="E41" s="22" t="s">
        <v>196</v>
      </c>
      <c r="F41" s="2">
        <v>11.05</v>
      </c>
      <c r="G41" s="78">
        <v>11.05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495.20999999999913</v>
      </c>
      <c r="N41">
        <v>0</v>
      </c>
      <c r="O41"/>
      <c r="P41" s="736">
        <v>5.1499999999999997E-2</v>
      </c>
      <c r="Q41" s="736">
        <v>5.4999999999999997E-3</v>
      </c>
      <c r="R41" s="2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828</v>
      </c>
      <c r="F42" s="2">
        <v>98.72</v>
      </c>
      <c r="G42" s="78">
        <v>98.72</v>
      </c>
      <c r="H42">
        <v>0</v>
      </c>
      <c r="I42" s="2">
        <v>0</v>
      </c>
      <c r="J42" s="2">
        <v>0</v>
      </c>
      <c r="K42" s="2">
        <v>604.30000000000109</v>
      </c>
      <c r="L42" s="736">
        <v>0</v>
      </c>
      <c r="M42" s="2">
        <v>604.30000000000109</v>
      </c>
      <c r="N42">
        <v>0</v>
      </c>
      <c r="O42"/>
      <c r="P42" s="736">
        <v>6.8881685575364676E-3</v>
      </c>
      <c r="Q42" s="736">
        <v>5.1999999999999998E-3</v>
      </c>
      <c r="R42" s="2">
        <v>20.783157894736842</v>
      </c>
      <c r="S42" s="48"/>
      <c r="T42" s="48"/>
    </row>
    <row r="43" spans="1:41" ht="21.95" customHeight="1" x14ac:dyDescent="0.25">
      <c r="A43" s="60"/>
      <c r="B43" s="61"/>
      <c r="C43" s="60"/>
      <c r="D43" s="788"/>
      <c r="E43" s="22" t="s">
        <v>679</v>
      </c>
      <c r="F43" s="2">
        <v>135.86000000000001</v>
      </c>
      <c r="G43" s="78">
        <v>135.86000000000001</v>
      </c>
      <c r="H43">
        <v>0</v>
      </c>
      <c r="I43" s="2">
        <v>0</v>
      </c>
      <c r="J43" s="2">
        <v>0</v>
      </c>
      <c r="K43" s="2">
        <v>2714.0600000000013</v>
      </c>
      <c r="L43" s="736">
        <v>0</v>
      </c>
      <c r="M43" s="2">
        <v>2714.0600000000013</v>
      </c>
      <c r="N43">
        <v>0</v>
      </c>
      <c r="O43"/>
      <c r="P43" s="736">
        <v>2.8E-3</v>
      </c>
      <c r="Q43" s="736">
        <v>6.3E-3</v>
      </c>
      <c r="R43" s="2">
        <v>20.307922272047833</v>
      </c>
      <c r="S43" s="736"/>
      <c r="U43" s="48"/>
    </row>
    <row r="44" spans="1:41" ht="21.95" customHeight="1" x14ac:dyDescent="0.25">
      <c r="A44" s="50"/>
      <c r="B44" s="50"/>
      <c r="C44" s="51"/>
      <c r="D44" s="788"/>
      <c r="E44" s="22" t="s">
        <v>959</v>
      </c>
      <c r="F44" s="2">
        <v>98.58</v>
      </c>
      <c r="G44" s="78">
        <v>98.58</v>
      </c>
      <c r="H44">
        <v>0</v>
      </c>
      <c r="I44" s="2">
        <v>0</v>
      </c>
      <c r="J44" s="2">
        <v>0</v>
      </c>
      <c r="K44" s="2">
        <v>500.88000000000011</v>
      </c>
      <c r="L44" s="736">
        <v>0</v>
      </c>
      <c r="M44" s="2">
        <v>500.88000000000011</v>
      </c>
      <c r="N44">
        <v>0</v>
      </c>
      <c r="O44"/>
      <c r="P44" s="736">
        <v>6.492189085007101E-3</v>
      </c>
      <c r="Q44" s="736">
        <v>6.1000000000000004E-3</v>
      </c>
      <c r="R44" s="2">
        <v>13.357723577235772</v>
      </c>
      <c r="S44" s="736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1"/>
      <c r="B45" s="51"/>
      <c r="C45" s="51"/>
      <c r="D45" s="788"/>
      <c r="E45" s="22" t="s">
        <v>17</v>
      </c>
      <c r="F45" s="78">
        <v>0</v>
      </c>
      <c r="G45" s="78">
        <v>0</v>
      </c>
      <c r="H45">
        <v>0</v>
      </c>
      <c r="I45" s="2">
        <v>0</v>
      </c>
      <c r="J45" s="2">
        <v>0</v>
      </c>
      <c r="K45" s="2">
        <v>-20818.210000000079</v>
      </c>
      <c r="L45" s="736"/>
      <c r="M45" s="2">
        <v>-20818.210000000079</v>
      </c>
      <c r="N45">
        <v>0</v>
      </c>
      <c r="O45"/>
      <c r="P45" s="736">
        <v>0</v>
      </c>
      <c r="Q45" s="736">
        <v>0</v>
      </c>
      <c r="R45" s="2"/>
      <c r="S45" s="736"/>
      <c r="T45" s="48"/>
      <c r="V45" s="48"/>
      <c r="W45" s="48"/>
    </row>
    <row r="46" spans="1:41" ht="21.95" customHeight="1" x14ac:dyDescent="0.25">
      <c r="A46" s="50"/>
      <c r="B46" s="50"/>
      <c r="C46" s="51"/>
      <c r="D46" s="788"/>
      <c r="E46" s="22" t="s">
        <v>307</v>
      </c>
      <c r="F46" s="2">
        <v>146.46</v>
      </c>
      <c r="G46" s="78">
        <v>146.46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720.56000000000131</v>
      </c>
      <c r="N46">
        <v>0</v>
      </c>
      <c r="O46"/>
      <c r="P46" s="736">
        <v>0</v>
      </c>
      <c r="Q46" s="736">
        <v>6.3E-3</v>
      </c>
      <c r="R46" s="2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691</v>
      </c>
      <c r="F47" s="2">
        <v>95.07</v>
      </c>
      <c r="G47" s="78">
        <v>95.07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329.55999999999949</v>
      </c>
      <c r="N47">
        <v>0</v>
      </c>
      <c r="O47"/>
      <c r="P47" s="736">
        <v>1.78E-2</v>
      </c>
      <c r="Q47" s="736">
        <v>-8.0000000000000004E-4</v>
      </c>
      <c r="R47" s="2"/>
      <c r="S47" s="736"/>
      <c r="T47" s="48"/>
      <c r="V47" s="48"/>
    </row>
    <row r="48" spans="1:41" ht="21.95" customHeight="1" x14ac:dyDescent="0.25">
      <c r="A48" s="50"/>
      <c r="B48" s="50"/>
      <c r="C48" s="51"/>
      <c r="D48" s="788"/>
      <c r="E48" s="22" t="s">
        <v>734</v>
      </c>
      <c r="F48" s="2">
        <v>675.94</v>
      </c>
      <c r="G48" s="78">
        <v>675.94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559.89000000000033</v>
      </c>
      <c r="N48">
        <v>0</v>
      </c>
      <c r="O48"/>
      <c r="P48" s="736">
        <v>0</v>
      </c>
      <c r="Q48" s="736">
        <v>3.8999999999999998E-3</v>
      </c>
      <c r="R48" s="2"/>
      <c r="S48" s="48"/>
    </row>
    <row r="49" spans="1:41" ht="21.95" customHeight="1" x14ac:dyDescent="0.25">
      <c r="A49" s="50"/>
      <c r="B49" s="50"/>
      <c r="C49" s="51"/>
      <c r="D49" s="788"/>
      <c r="E49" s="22" t="s">
        <v>945</v>
      </c>
      <c r="F49" s="2">
        <v>52.13</v>
      </c>
      <c r="G49" s="78">
        <v>52.13</v>
      </c>
      <c r="H49">
        <v>0</v>
      </c>
      <c r="I49" s="2">
        <v>0</v>
      </c>
      <c r="J49" s="2">
        <v>0</v>
      </c>
      <c r="K49" s="2">
        <v>1902.8299999999981</v>
      </c>
      <c r="L49" s="736">
        <v>0</v>
      </c>
      <c r="M49" s="2">
        <v>1902.8299999999981</v>
      </c>
      <c r="N49">
        <v>0</v>
      </c>
      <c r="O49"/>
      <c r="P49" s="736">
        <v>2.6472280836370609E-2</v>
      </c>
      <c r="Q49" s="736">
        <v>-1E-3</v>
      </c>
      <c r="R49" s="2">
        <v>11.847727272727273</v>
      </c>
      <c r="S49" s="48"/>
      <c r="T49" s="345"/>
      <c r="U49" s="345"/>
    </row>
    <row r="50" spans="1:41" ht="21.95" customHeight="1" x14ac:dyDescent="0.25">
      <c r="A50" s="51"/>
      <c r="B50" s="51"/>
      <c r="C50" s="51"/>
      <c r="D50" s="788"/>
      <c r="E50" s="22" t="s">
        <v>944</v>
      </c>
      <c r="F50" s="2">
        <v>226</v>
      </c>
      <c r="G50" s="78">
        <v>226</v>
      </c>
      <c r="H50">
        <v>0</v>
      </c>
      <c r="I50" s="2">
        <v>0</v>
      </c>
      <c r="J50" s="2">
        <v>0</v>
      </c>
      <c r="K50" s="2">
        <v>137.51000000000022</v>
      </c>
      <c r="L50" s="736">
        <v>0</v>
      </c>
      <c r="M50" s="2">
        <v>137.51000000000022</v>
      </c>
      <c r="N50">
        <v>0</v>
      </c>
      <c r="O50"/>
      <c r="P50" s="736">
        <v>7.7876106194690268E-3</v>
      </c>
      <c r="Q50" s="736">
        <v>3.0000000000000001E-3</v>
      </c>
      <c r="R50" s="2">
        <v>26.218097447795827</v>
      </c>
      <c r="S50" s="736"/>
      <c r="T50" s="48"/>
      <c r="U50" s="48"/>
    </row>
    <row r="51" spans="1:41" ht="21.95" customHeight="1" x14ac:dyDescent="0.25">
      <c r="A51" s="50"/>
      <c r="B51" s="50"/>
      <c r="C51" s="51"/>
      <c r="D51" s="788"/>
      <c r="E51" s="22" t="s">
        <v>941</v>
      </c>
      <c r="F51" s="2">
        <v>63.95</v>
      </c>
      <c r="G51" s="78">
        <v>63.95</v>
      </c>
      <c r="H51">
        <v>0</v>
      </c>
      <c r="I51" s="2">
        <v>0</v>
      </c>
      <c r="J51" s="2">
        <v>0</v>
      </c>
      <c r="K51" s="2">
        <v>77.670000000000073</v>
      </c>
      <c r="L51" s="736">
        <v>0</v>
      </c>
      <c r="M51" s="2">
        <v>77.670000000000073</v>
      </c>
      <c r="N51">
        <v>0</v>
      </c>
      <c r="O51"/>
      <c r="P51" s="736">
        <v>3.9093041438623924E-2</v>
      </c>
      <c r="Q51" s="736">
        <v>2.0899999999999998E-2</v>
      </c>
      <c r="R51" s="2">
        <v>16.87335092348285</v>
      </c>
      <c r="S51" s="736"/>
      <c r="T51" s="48"/>
      <c r="Y51" s="48"/>
    </row>
    <row r="52" spans="1:41" ht="21.95" customHeight="1" x14ac:dyDescent="0.25">
      <c r="A52" s="50"/>
      <c r="B52" s="50"/>
      <c r="C52" s="50"/>
      <c r="D52" s="788"/>
      <c r="E52" s="22" t="s">
        <v>921</v>
      </c>
      <c r="F52" s="2">
        <v>36.51</v>
      </c>
      <c r="G52" s="78">
        <v>36.51</v>
      </c>
      <c r="H52">
        <v>0</v>
      </c>
      <c r="I52" s="2">
        <v>0</v>
      </c>
      <c r="J52" s="2">
        <v>0</v>
      </c>
      <c r="K52" s="2">
        <v>845.78000000000065</v>
      </c>
      <c r="L52" s="736">
        <v>0</v>
      </c>
      <c r="M52" s="2">
        <v>845.78000000000065</v>
      </c>
      <c r="N52">
        <v>0</v>
      </c>
      <c r="O52"/>
      <c r="P52" s="736">
        <v>7.2308956450287606E-2</v>
      </c>
      <c r="Q52" s="736">
        <v>1.3599999999999999E-2</v>
      </c>
      <c r="R52" s="2"/>
      <c r="S52" s="736"/>
    </row>
    <row r="53" spans="1:41" ht="21.95" customHeight="1" x14ac:dyDescent="0.25">
      <c r="A53" s="50"/>
      <c r="B53" s="50"/>
      <c r="C53" s="51"/>
      <c r="D53" s="788"/>
      <c r="E53" s="22" t="s">
        <v>917</v>
      </c>
      <c r="F53" s="2">
        <v>243.55</v>
      </c>
      <c r="G53" s="78">
        <v>243.55</v>
      </c>
      <c r="H53">
        <v>0</v>
      </c>
      <c r="I53" s="2">
        <v>0</v>
      </c>
      <c r="J53" s="2">
        <v>0</v>
      </c>
      <c r="K53" s="2">
        <v>411.71000000000276</v>
      </c>
      <c r="L53" s="736">
        <v>0</v>
      </c>
      <c r="M53" s="2">
        <v>411.71000000000276</v>
      </c>
      <c r="N53">
        <v>0</v>
      </c>
      <c r="O53"/>
      <c r="P53" s="736">
        <v>1.9900000000000001E-2</v>
      </c>
      <c r="Q53" s="736">
        <v>7.7999999999999996E-3</v>
      </c>
      <c r="R53" s="2">
        <v>16.34</v>
      </c>
      <c r="S53" s="48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194</v>
      </c>
      <c r="F54" s="2">
        <v>76.55</v>
      </c>
      <c r="G54" s="78">
        <v>76.55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785.90999999999985</v>
      </c>
      <c r="N54">
        <v>0</v>
      </c>
      <c r="O54"/>
      <c r="P54" s="736">
        <v>1.29E-2</v>
      </c>
      <c r="Q54" s="736">
        <v>3.5000000000000001E-3</v>
      </c>
      <c r="R54" s="2"/>
      <c r="S54" s="48"/>
    </row>
    <row r="55" spans="1:41" ht="21.95" customHeight="1" x14ac:dyDescent="0.25">
      <c r="A55" s="50"/>
      <c r="B55" s="50"/>
      <c r="C55" s="50"/>
      <c r="D55" s="788"/>
      <c r="E55" s="22" t="s">
        <v>223</v>
      </c>
      <c r="F55" s="2">
        <v>56.69</v>
      </c>
      <c r="G55" s="78">
        <v>56.69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257.64999999999964</v>
      </c>
      <c r="N55">
        <v>0</v>
      </c>
      <c r="O55"/>
      <c r="P55" s="736">
        <v>0</v>
      </c>
      <c r="Q55" s="736">
        <v>1.34E-2</v>
      </c>
      <c r="R55" s="2"/>
      <c r="S55" s="736"/>
      <c r="U55" s="48"/>
      <c r="V55" s="48"/>
    </row>
    <row r="56" spans="1:41" ht="21.95" customHeight="1" x14ac:dyDescent="0.25">
      <c r="A56" s="50"/>
      <c r="B56" s="50"/>
      <c r="C56" s="50"/>
      <c r="D56" s="788"/>
      <c r="E56" s="22" t="s">
        <v>823</v>
      </c>
      <c r="F56" s="2">
        <v>448.02</v>
      </c>
      <c r="G56" s="78">
        <v>448.02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1264.8599999999997</v>
      </c>
      <c r="N56">
        <v>0</v>
      </c>
      <c r="O56"/>
      <c r="P56" s="736">
        <v>0</v>
      </c>
      <c r="Q56" s="736">
        <v>-2.0999999999999999E-3</v>
      </c>
      <c r="R56" s="2"/>
      <c r="S56" s="736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733</v>
      </c>
      <c r="F57" s="78">
        <v>76</v>
      </c>
      <c r="G57" s="78">
        <v>76</v>
      </c>
      <c r="H57">
        <v>0</v>
      </c>
      <c r="I57" s="2">
        <v>0</v>
      </c>
      <c r="J57" s="2">
        <v>0</v>
      </c>
      <c r="K57" s="2">
        <v>581.39999999999964</v>
      </c>
      <c r="L57" s="736">
        <v>0</v>
      </c>
      <c r="M57" s="2">
        <v>1040.7199999999993</v>
      </c>
      <c r="N57">
        <v>0</v>
      </c>
      <c r="O57"/>
      <c r="P57" s="736">
        <v>0</v>
      </c>
      <c r="Q57" s="736">
        <v>1.3100000000000001E-2</v>
      </c>
      <c r="R57" s="2">
        <v>18.604651162790699</v>
      </c>
      <c r="S57" s="736"/>
      <c r="T57" s="48"/>
    </row>
    <row r="58" spans="1:41" ht="21.95" customHeight="1" x14ac:dyDescent="0.25">
      <c r="A58" s="50"/>
      <c r="B58" s="50"/>
      <c r="C58" s="51"/>
      <c r="D58" s="788"/>
      <c r="E58" s="22" t="s">
        <v>34</v>
      </c>
      <c r="F58" s="2">
        <v>52.84</v>
      </c>
      <c r="G58" s="78">
        <v>52.84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21137.586999999941</v>
      </c>
      <c r="N58">
        <v>0</v>
      </c>
      <c r="O58"/>
      <c r="P58" s="736">
        <v>0</v>
      </c>
      <c r="Q58" s="736">
        <v>2.64E-2</v>
      </c>
      <c r="R58" s="2"/>
      <c r="S58" s="736"/>
      <c r="T58" s="48"/>
      <c r="U58" s="48"/>
    </row>
    <row r="59" spans="1:41" ht="21.95" customHeight="1" x14ac:dyDescent="0.25">
      <c r="A59" s="50"/>
      <c r="B59" s="50"/>
      <c r="C59" s="51"/>
      <c r="D59" s="788"/>
      <c r="E59" s="22" t="s">
        <v>172</v>
      </c>
      <c r="F59" s="2">
        <v>52.19</v>
      </c>
      <c r="G59" s="78">
        <v>52.19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119.92000000000053</v>
      </c>
      <c r="N59">
        <v>0</v>
      </c>
      <c r="O59"/>
      <c r="P59" s="736">
        <v>3.6400000000000002E-2</v>
      </c>
      <c r="Q59" s="736">
        <v>1.12E-2</v>
      </c>
      <c r="R59" s="2"/>
      <c r="S59" s="48"/>
      <c r="T59" s="48"/>
    </row>
    <row r="60" spans="1:41" ht="21.95" customHeight="1" x14ac:dyDescent="0.25">
      <c r="A60" s="50"/>
      <c r="B60" s="50"/>
      <c r="C60" s="51"/>
      <c r="D60" s="788"/>
      <c r="E60" s="22" t="s">
        <v>27</v>
      </c>
      <c r="F60" s="2">
        <v>50.75</v>
      </c>
      <c r="G60" s="78">
        <v>50.75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1407.5400000000009</v>
      </c>
      <c r="N60">
        <v>0</v>
      </c>
      <c r="O60"/>
      <c r="P60" s="736">
        <v>3.0200000000000001E-2</v>
      </c>
      <c r="Q60" s="736">
        <v>2.5899999999999999E-2</v>
      </c>
      <c r="R60" s="2"/>
      <c r="S60" s="48"/>
      <c r="T60" s="48"/>
      <c r="V60" s="48"/>
    </row>
    <row r="61" spans="1:41" ht="21.95" customHeight="1" x14ac:dyDescent="0.25">
      <c r="A61" s="51"/>
      <c r="B61" s="51"/>
      <c r="C61" s="51"/>
      <c r="D61" s="788"/>
      <c r="E61" s="22" t="s">
        <v>22</v>
      </c>
      <c r="F61" s="2">
        <v>66.38</v>
      </c>
      <c r="G61" s="78">
        <v>66.38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3178.8000000000466</v>
      </c>
      <c r="N61">
        <v>0</v>
      </c>
      <c r="O61"/>
      <c r="P61" s="736">
        <v>2.07E-2</v>
      </c>
      <c r="Q61" s="736">
        <v>6.4000000000000003E-3</v>
      </c>
      <c r="R61" s="2"/>
      <c r="S61" s="48"/>
      <c r="T61" s="48"/>
      <c r="U61" s="48"/>
      <c r="V61" s="48"/>
    </row>
    <row r="62" spans="1:41" ht="21.95" customHeight="1" x14ac:dyDescent="0.25">
      <c r="A62" s="152"/>
      <c r="B62" s="50"/>
      <c r="C62" s="51"/>
      <c r="D62" s="788"/>
      <c r="E62" s="22" t="s">
        <v>42</v>
      </c>
      <c r="F62" s="2">
        <v>142.25</v>
      </c>
      <c r="G62" s="78">
        <v>142.25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128.08999999999833</v>
      </c>
      <c r="N62">
        <v>0</v>
      </c>
      <c r="O62"/>
      <c r="P62" s="736">
        <v>2.18E-2</v>
      </c>
      <c r="Q62" s="736">
        <v>8.6E-3</v>
      </c>
      <c r="R62" s="2"/>
      <c r="S62" s="736"/>
      <c r="T62" s="48"/>
      <c r="U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152"/>
      <c r="B63" s="50"/>
      <c r="C63" s="51"/>
      <c r="D63" s="788"/>
      <c r="E63" s="22" t="s">
        <v>267</v>
      </c>
      <c r="F63" s="2">
        <v>46.62</v>
      </c>
      <c r="G63" s="78">
        <v>46.62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427.92000000000007</v>
      </c>
      <c r="N63">
        <v>0</v>
      </c>
      <c r="O63"/>
      <c r="P63" s="736">
        <v>0</v>
      </c>
      <c r="Q63" s="736">
        <v>-5.9999999999999995E-4</v>
      </c>
      <c r="R63" s="2"/>
      <c r="T63" s="48"/>
    </row>
    <row r="64" spans="1:41" ht="21.95" customHeight="1" x14ac:dyDescent="0.25">
      <c r="A64" s="50"/>
      <c r="B64" s="50"/>
      <c r="C64" s="51"/>
      <c r="D64" s="788"/>
      <c r="E64" s="22" t="s">
        <v>175</v>
      </c>
      <c r="F64" s="2">
        <v>273.11009999999999</v>
      </c>
      <c r="G64" s="78">
        <v>273.11009999999999</v>
      </c>
      <c r="H64">
        <v>0</v>
      </c>
      <c r="I64" s="2">
        <v>0</v>
      </c>
      <c r="J64" s="2">
        <v>0</v>
      </c>
      <c r="K64" s="2">
        <v>873.70999999999913</v>
      </c>
      <c r="L64" s="736">
        <v>0</v>
      </c>
      <c r="M64" s="2">
        <v>1034.5399999999991</v>
      </c>
      <c r="N64">
        <v>0</v>
      </c>
      <c r="O64"/>
      <c r="P64" s="736">
        <v>1.84E-2</v>
      </c>
      <c r="Q64" s="736">
        <v>8.2000000000000007E-3</v>
      </c>
      <c r="R64" s="2">
        <v>21.008469230769229</v>
      </c>
      <c r="S64" s="736"/>
    </row>
    <row r="65" spans="1:41" ht="21.95" customHeight="1" x14ac:dyDescent="0.25">
      <c r="A65" s="50"/>
      <c r="B65" s="50"/>
      <c r="C65" s="51"/>
      <c r="D65" s="788"/>
      <c r="E65" s="22" t="s">
        <v>170</v>
      </c>
      <c r="F65" s="2">
        <v>99.66</v>
      </c>
      <c r="G65" s="78">
        <v>99.66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1368.9000000000015</v>
      </c>
      <c r="N65">
        <v>0</v>
      </c>
      <c r="O65"/>
      <c r="P65" s="736">
        <v>1.14E-2</v>
      </c>
      <c r="Q65" s="736">
        <v>4.3999999999999997E-2</v>
      </c>
      <c r="R65" s="2"/>
      <c r="V65" s="48"/>
    </row>
    <row r="66" spans="1:41" ht="21.95" customHeight="1" x14ac:dyDescent="0.25">
      <c r="A66" s="50"/>
      <c r="B66" s="50"/>
      <c r="C66" s="51"/>
      <c r="D66" s="788"/>
      <c r="E66" s="22" t="s">
        <v>8</v>
      </c>
      <c r="F66" s="2">
        <v>80.7</v>
      </c>
      <c r="G66" s="78">
        <v>80.7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121.94999999999982</v>
      </c>
      <c r="N66">
        <v>0</v>
      </c>
      <c r="O66"/>
      <c r="P66" s="736">
        <v>1.67E-2</v>
      </c>
      <c r="Q66" s="736">
        <v>-1E-3</v>
      </c>
      <c r="R66" s="2"/>
      <c r="U66" s="48"/>
    </row>
    <row r="67" spans="1:41" ht="21.95" customHeight="1" x14ac:dyDescent="0.25">
      <c r="A67" s="50"/>
      <c r="B67" s="50"/>
      <c r="C67" s="51"/>
      <c r="D67" s="788"/>
      <c r="E67" s="22" t="s">
        <v>173</v>
      </c>
      <c r="F67" s="2">
        <v>55.239899999999999</v>
      </c>
      <c r="G67" s="78">
        <v>55.239899999999999</v>
      </c>
      <c r="H67">
        <v>0</v>
      </c>
      <c r="I67" s="2">
        <v>0</v>
      </c>
      <c r="J67" s="2">
        <v>0</v>
      </c>
      <c r="K67" s="2">
        <v>765.37999999999374</v>
      </c>
      <c r="L67" s="736">
        <v>0</v>
      </c>
      <c r="M67" s="2">
        <v>2369.9599999999955</v>
      </c>
      <c r="N67">
        <v>0</v>
      </c>
      <c r="O67" t="s">
        <v>1123</v>
      </c>
      <c r="P67" s="736">
        <v>2.8240456626460225E-2</v>
      </c>
      <c r="Q67" s="736">
        <v>-5.7999999999999996E-3</v>
      </c>
      <c r="R67" s="2">
        <v>12.221216814159293</v>
      </c>
      <c r="S67" s="48"/>
      <c r="U67" s="48"/>
    </row>
    <row r="68" spans="1:41" ht="21.95" customHeight="1" x14ac:dyDescent="0.25">
      <c r="A68" s="50"/>
      <c r="B68" s="50"/>
      <c r="C68" s="51"/>
      <c r="D68" s="788"/>
      <c r="E68" s="22" t="s">
        <v>10</v>
      </c>
      <c r="F68" s="2">
        <v>46.88</v>
      </c>
      <c r="G68" s="78">
        <v>46.88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2.3599999999999999E-2</v>
      </c>
      <c r="R68" s="2"/>
      <c r="U68" s="48"/>
    </row>
    <row r="69" spans="1:41" ht="21.95" customHeight="1" x14ac:dyDescent="0.25">
      <c r="A69" s="51"/>
      <c r="B69" s="51"/>
      <c r="C69" s="51"/>
      <c r="D69" s="788"/>
      <c r="E69" s="22" t="s">
        <v>222</v>
      </c>
      <c r="F69" s="2">
        <v>43.05</v>
      </c>
      <c r="G69" s="78">
        <v>43.05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-2.7300000000000001E-2</v>
      </c>
      <c r="R69" s="2"/>
      <c r="S69" s="736"/>
    </row>
    <row r="70" spans="1:41" ht="21.95" customHeight="1" x14ac:dyDescent="0.25">
      <c r="A70" s="51"/>
      <c r="B70" s="51"/>
      <c r="C70" s="51"/>
      <c r="D70" s="788"/>
      <c r="E70" s="22" t="s">
        <v>340</v>
      </c>
      <c r="F70" s="78">
        <v>76.55</v>
      </c>
      <c r="G70" s="78">
        <v>76.55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-1E-3</v>
      </c>
      <c r="R70" s="2">
        <v>14.580952380952381</v>
      </c>
      <c r="S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24</v>
      </c>
      <c r="F71" s="2">
        <v>65.97</v>
      </c>
      <c r="G71" s="78">
        <v>65.97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1.4E-3</v>
      </c>
      <c r="R71" s="2"/>
      <c r="S71" s="736"/>
      <c r="U71" s="48"/>
    </row>
    <row r="72" spans="1:41" ht="21.95" customHeight="1" x14ac:dyDescent="0.25">
      <c r="A72" s="51"/>
      <c r="B72" s="51"/>
      <c r="C72" s="51"/>
      <c r="D72" s="788"/>
      <c r="E72" s="22" t="s">
        <v>45</v>
      </c>
      <c r="F72" s="2">
        <v>91.94</v>
      </c>
      <c r="G72" s="78">
        <v>91.94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4.0000000000000002E-4</v>
      </c>
      <c r="R72" s="2"/>
      <c r="S72" s="48"/>
      <c r="T72" s="48"/>
      <c r="V72" s="48"/>
      <c r="W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1"/>
      <c r="C73" s="51"/>
      <c r="D73" s="788"/>
      <c r="E73" s="22" t="s">
        <v>47</v>
      </c>
      <c r="F73" s="2">
        <v>153.08000000000001</v>
      </c>
      <c r="G73" s="78">
        <v>153.08000000000001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1.44E-2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33</v>
      </c>
      <c r="F74" s="2">
        <v>245.4</v>
      </c>
      <c r="G74" s="78">
        <v>245.4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2.5499999999999998E-2</v>
      </c>
      <c r="R74" s="2"/>
      <c r="S74" s="736"/>
      <c r="T74" s="48"/>
    </row>
    <row r="75" spans="1:41" ht="21.95" customHeight="1" x14ac:dyDescent="0.25">
      <c r="A75" s="50"/>
      <c r="B75" s="50"/>
      <c r="C75" s="51"/>
      <c r="D75" s="788"/>
      <c r="E75" s="22" t="s">
        <v>13</v>
      </c>
      <c r="F75" s="2">
        <v>70.92</v>
      </c>
      <c r="G75" s="78">
        <v>70.92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1.14E-2</v>
      </c>
      <c r="R75" s="2"/>
      <c r="S75" s="736"/>
      <c r="T75" s="48"/>
    </row>
    <row r="76" spans="1:41" ht="21.95" customHeight="1" x14ac:dyDescent="0.25">
      <c r="A76" s="51"/>
      <c r="B76" s="51"/>
      <c r="C76" s="51"/>
      <c r="D76" s="788"/>
      <c r="E76" s="22" t="s">
        <v>52</v>
      </c>
      <c r="F76" s="78">
        <v>50.04</v>
      </c>
      <c r="G76" s="78">
        <v>50.04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1.09E-2</v>
      </c>
      <c r="R76" s="2"/>
      <c r="S76" s="736"/>
      <c r="T76" s="48"/>
      <c r="U76" s="48"/>
    </row>
    <row r="77" spans="1:41" ht="21.95" customHeight="1" x14ac:dyDescent="0.25">
      <c r="A77" s="50"/>
      <c r="B77" s="50"/>
      <c r="C77" s="51"/>
      <c r="D77" s="788"/>
      <c r="E77" s="22" t="s">
        <v>329</v>
      </c>
      <c r="F77" s="2">
        <v>23.92</v>
      </c>
      <c r="G77" s="78">
        <v>23.92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-3.1600000000000003E-2</v>
      </c>
      <c r="R77" s="2">
        <v>9.7632653061224488</v>
      </c>
      <c r="U77" s="48"/>
    </row>
    <row r="78" spans="1:41" ht="21.95" customHeight="1" x14ac:dyDescent="0.25">
      <c r="A78" s="50"/>
      <c r="B78" s="50"/>
      <c r="C78" s="51"/>
      <c r="D78" s="788"/>
      <c r="E78" s="22" t="s">
        <v>63</v>
      </c>
      <c r="F78" s="78">
        <v>105.34</v>
      </c>
      <c r="G78" s="78">
        <v>105.34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1.2500000000000001E-2</v>
      </c>
      <c r="R78" s="2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 s="2"/>
      <c r="AN78"/>
      <c r="AO78"/>
    </row>
    <row r="79" spans="1:41" ht="21.95" customHeight="1" x14ac:dyDescent="0.25">
      <c r="A79" s="51"/>
      <c r="B79" s="51"/>
      <c r="C79" s="51"/>
      <c r="D79" s="788"/>
      <c r="E79" s="22" t="s">
        <v>9</v>
      </c>
      <c r="F79" s="2">
        <v>5.2</v>
      </c>
      <c r="G79" s="78">
        <v>5.2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4.2099999999999999E-2</v>
      </c>
      <c r="R79" s="2"/>
      <c r="S79" s="736"/>
      <c r="T79" s="48"/>
    </row>
    <row r="80" spans="1:41" ht="21.95" customHeight="1" x14ac:dyDescent="0.25">
      <c r="A80" s="50"/>
      <c r="B80" s="50"/>
      <c r="C80" s="51"/>
      <c r="D80" s="788"/>
      <c r="E80" s="22" t="s">
        <v>55</v>
      </c>
      <c r="F80" s="2">
        <v>72.81</v>
      </c>
      <c r="G80" s="78">
        <v>72.81</v>
      </c>
      <c r="H80">
        <v>0</v>
      </c>
      <c r="I80" s="2">
        <v>0</v>
      </c>
      <c r="J80" s="2">
        <v>0</v>
      </c>
      <c r="K80" s="2">
        <v>113.94999999999982</v>
      </c>
      <c r="L80" s="736">
        <v>0</v>
      </c>
      <c r="M80" s="2">
        <v>924.07999999998992</v>
      </c>
      <c r="N80">
        <v>0</v>
      </c>
      <c r="O80"/>
      <c r="P80" s="736">
        <v>2.8567504463672573E-2</v>
      </c>
      <c r="Q80" s="736">
        <v>2.0799999999999999E-2</v>
      </c>
      <c r="R80" s="2">
        <v>11.270897832817338</v>
      </c>
      <c r="S80" s="48"/>
      <c r="T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20" ht="21.95" customHeight="1" x14ac:dyDescent="0.25">
      <c r="A81" s="50"/>
      <c r="B81" s="50"/>
      <c r="C81" s="51"/>
      <c r="D81" s="788"/>
      <c r="E81" s="22" t="s">
        <v>53</v>
      </c>
      <c r="F81" s="2">
        <v>77.2</v>
      </c>
      <c r="G81" s="78">
        <v>77.2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4.7999999999999996E-3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8"/>
      <c r="E82" s="22" t="s">
        <v>56</v>
      </c>
      <c r="F82" s="2">
        <v>39.47</v>
      </c>
      <c r="G82" s="78">
        <v>39.47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1.21E-2</v>
      </c>
      <c r="R82" s="2"/>
      <c r="T82" s="48"/>
    </row>
    <row r="83" spans="1:20" ht="21.95" customHeight="1" x14ac:dyDescent="0.25">
      <c r="A83" s="51"/>
      <c r="B83" s="51"/>
      <c r="C83" s="51"/>
      <c r="D83" s="788"/>
      <c r="E83" s="22" t="s">
        <v>0</v>
      </c>
      <c r="F83" s="2">
        <v>207.35</v>
      </c>
      <c r="G83" s="78">
        <v>207.35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6.6E-3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8"/>
      <c r="E84" s="22" t="s">
        <v>39</v>
      </c>
      <c r="F84" s="2">
        <v>43.45</v>
      </c>
      <c r="G84" s="78">
        <v>43.45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7.0000000000000001E-3</v>
      </c>
      <c r="R84" s="2"/>
    </row>
    <row r="85" spans="1:20" ht="21.95" customHeight="1" x14ac:dyDescent="0.25">
      <c r="A85" s="50"/>
      <c r="B85" s="51"/>
      <c r="C85" s="51"/>
      <c r="D85" s="788"/>
      <c r="E85" s="22" t="s">
        <v>54</v>
      </c>
      <c r="F85" s="2">
        <v>124.95</v>
      </c>
      <c r="G85" s="78">
        <v>124.95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2.0000000000000001E-4</v>
      </c>
      <c r="R85" s="2"/>
      <c r="S85" s="736"/>
      <c r="T85" s="48"/>
    </row>
    <row r="86" spans="1:20" ht="21.95" customHeight="1" x14ac:dyDescent="0.25">
      <c r="A86" s="50"/>
      <c r="B86" s="50"/>
      <c r="C86" s="51"/>
      <c r="D86" s="788"/>
      <c r="E86" s="22" t="s">
        <v>51</v>
      </c>
      <c r="F86" s="2">
        <v>250.5</v>
      </c>
      <c r="G86" s="78">
        <v>250.5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1.43E-2</v>
      </c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33" priority="600">
      <formula>$O1=0</formula>
    </cfRule>
    <cfRule type="dataBar" priority="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32" priority="556">
      <formula>$H2=0</formula>
    </cfRule>
  </conditionalFormatting>
  <conditionalFormatting sqref="K105:K200">
    <cfRule type="expression" dxfId="2731" priority="557">
      <formula>$J105=0</formula>
    </cfRule>
  </conditionalFormatting>
  <conditionalFormatting sqref="K105:K458">
    <cfRule type="expression" dxfId="2730" priority="598">
      <formula>$J105&lt;0</formula>
    </cfRule>
  </conditionalFormatting>
  <conditionalFormatting sqref="E59">
    <cfRule type="expression" dxfId="2729" priority="527">
      <formula>$H59=0</formula>
    </cfRule>
  </conditionalFormatting>
  <conditionalFormatting sqref="E5">
    <cfRule type="expression" dxfId="2728" priority="505">
      <formula>$H5=0</formula>
    </cfRule>
  </conditionalFormatting>
  <conditionalFormatting sqref="E60">
    <cfRule type="expression" dxfId="2727" priority="483">
      <formula>$H60=0</formula>
    </cfRule>
  </conditionalFormatting>
  <conditionalFormatting sqref="E62">
    <cfRule type="expression" dxfId="2726" priority="472">
      <formula>$H62=0</formula>
    </cfRule>
  </conditionalFormatting>
  <conditionalFormatting sqref="E61">
    <cfRule type="expression" dxfId="2725" priority="461">
      <formula>$H61=0</formula>
    </cfRule>
  </conditionalFormatting>
  <conditionalFormatting sqref="E8">
    <cfRule type="expression" dxfId="2724" priority="446">
      <formula>$H8=0</formula>
    </cfRule>
  </conditionalFormatting>
  <conditionalFormatting sqref="E63">
    <cfRule type="expression" dxfId="2723" priority="436">
      <formula>$H63=0</formula>
    </cfRule>
  </conditionalFormatting>
  <conditionalFormatting sqref="E20">
    <cfRule type="expression" dxfId="2722" priority="426">
      <formula>$H20=0</formula>
    </cfRule>
  </conditionalFormatting>
  <conditionalFormatting sqref="E64">
    <cfRule type="expression" dxfId="2721" priority="417">
      <formula>$H64=0</formula>
    </cfRule>
  </conditionalFormatting>
  <conditionalFormatting sqref="E65">
    <cfRule type="expression" dxfId="2720" priority="410">
      <formula>$H65=0</formula>
    </cfRule>
  </conditionalFormatting>
  <conditionalFormatting sqref="E11">
    <cfRule type="expression" dxfId="2719" priority="401">
      <formula>$H11=0</formula>
    </cfRule>
  </conditionalFormatting>
  <conditionalFormatting sqref="E9">
    <cfRule type="expression" dxfId="2718" priority="394">
      <formula>$H9=0</formula>
    </cfRule>
  </conditionalFormatting>
  <conditionalFormatting sqref="E66">
    <cfRule type="expression" dxfId="2717" priority="385">
      <formula>$H66=0</formula>
    </cfRule>
  </conditionalFormatting>
  <conditionalFormatting sqref="E10">
    <cfRule type="expression" dxfId="2716" priority="376">
      <formula>$H10=0</formula>
    </cfRule>
  </conditionalFormatting>
  <conditionalFormatting sqref="E26:E28 E30 E45:E49 E36:E43">
    <cfRule type="expression" dxfId="2715" priority="372">
      <formula>$H26=0</formula>
    </cfRule>
  </conditionalFormatting>
  <conditionalFormatting sqref="E29">
    <cfRule type="expression" dxfId="2714" priority="371">
      <formula>$H29=0</formula>
    </cfRule>
  </conditionalFormatting>
  <conditionalFormatting sqref="E31">
    <cfRule type="expression" dxfId="2713" priority="370">
      <formula>$H31=0</formula>
    </cfRule>
  </conditionalFormatting>
  <conditionalFormatting sqref="E32">
    <cfRule type="expression" dxfId="2712" priority="369">
      <formula>$H32=0</formula>
    </cfRule>
  </conditionalFormatting>
  <conditionalFormatting sqref="E44">
    <cfRule type="expression" dxfId="2711" priority="368">
      <formula>$H44=0</formula>
    </cfRule>
  </conditionalFormatting>
  <conditionalFormatting sqref="E35">
    <cfRule type="expression" dxfId="2710" priority="367">
      <formula>$H35=0</formula>
    </cfRule>
  </conditionalFormatting>
  <conditionalFormatting sqref="E33">
    <cfRule type="expression" dxfId="2709" priority="366">
      <formula>$H33=0</formula>
    </cfRule>
  </conditionalFormatting>
  <conditionalFormatting sqref="E34">
    <cfRule type="expression" dxfId="2708" priority="365">
      <formula>$H34=0</formula>
    </cfRule>
  </conditionalFormatting>
  <conditionalFormatting sqref="E67">
    <cfRule type="expression" dxfId="2707" priority="361">
      <formula>$H67=0</formula>
    </cfRule>
  </conditionalFormatting>
  <conditionalFormatting sqref="E69:E70">
    <cfRule type="expression" dxfId="2706" priority="354">
      <formula>$H69=0</formula>
    </cfRule>
  </conditionalFormatting>
  <conditionalFormatting sqref="E68">
    <cfRule type="expression" dxfId="2705" priority="347">
      <formula>$H68=0</formula>
    </cfRule>
  </conditionalFormatting>
  <conditionalFormatting sqref="E69:E70">
    <cfRule type="expression" dxfId="2704" priority="339">
      <formula>$H69=0</formula>
    </cfRule>
  </conditionalFormatting>
  <conditionalFormatting sqref="E71">
    <cfRule type="expression" dxfId="2703" priority="332">
      <formula>$H71=0</formula>
    </cfRule>
  </conditionalFormatting>
  <conditionalFormatting sqref="E72">
    <cfRule type="expression" dxfId="2702" priority="309">
      <formula>$H72=0</formula>
    </cfRule>
  </conditionalFormatting>
  <conditionalFormatting sqref="E72">
    <cfRule type="expression" dxfId="2701" priority="301">
      <formula>$H72=0</formula>
    </cfRule>
  </conditionalFormatting>
  <conditionalFormatting sqref="E74">
    <cfRule type="expression" dxfId="2700" priority="294">
      <formula>$H74=0</formula>
    </cfRule>
  </conditionalFormatting>
  <conditionalFormatting sqref="E73">
    <cfRule type="expression" dxfId="2699" priority="287">
      <formula>$H73=0</formula>
    </cfRule>
  </conditionalFormatting>
  <conditionalFormatting sqref="E75">
    <cfRule type="expression" dxfId="2698" priority="270">
      <formula>$H75=0</formula>
    </cfRule>
  </conditionalFormatting>
  <conditionalFormatting sqref="E7">
    <cfRule type="expression" dxfId="2697" priority="262">
      <formula>$H7=0</formula>
    </cfRule>
  </conditionalFormatting>
  <conditionalFormatting sqref="P105:P104857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96" priority="246">
      <formula>$H76=0</formula>
    </cfRule>
  </conditionalFormatting>
  <conditionalFormatting sqref="E77">
    <cfRule type="expression" dxfId="2695" priority="233">
      <formula>$H77=0</formula>
    </cfRule>
  </conditionalFormatting>
  <conditionalFormatting sqref="E78">
    <cfRule type="expression" dxfId="2694" priority="219">
      <formula>$H78=0</formula>
    </cfRule>
  </conditionalFormatting>
  <conditionalFormatting sqref="P105:P1048576 P1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93" priority="207">
      <formula>$H79=0</formula>
    </cfRule>
  </conditionalFormatting>
  <conditionalFormatting sqref="E80">
    <cfRule type="expression" dxfId="2692" priority="197">
      <formula>$H80=0</formula>
    </cfRule>
  </conditionalFormatting>
  <conditionalFormatting sqref="E81">
    <cfRule type="expression" dxfId="2691" priority="187">
      <formula>$H81=0</formula>
    </cfRule>
  </conditionalFormatting>
  <conditionalFormatting sqref="E82">
    <cfRule type="expression" dxfId="2690" priority="177">
      <formula>$H82=0</formula>
    </cfRule>
  </conditionalFormatting>
  <conditionalFormatting sqref="E83">
    <cfRule type="expression" dxfId="2689" priority="167">
      <formula>$H83=0</formula>
    </cfRule>
  </conditionalFormatting>
  <conditionalFormatting sqref="E84">
    <cfRule type="expression" dxfId="2688" priority="157">
      <formula>$H84=0</formula>
    </cfRule>
  </conditionalFormatting>
  <conditionalFormatting sqref="Q1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87" priority="146">
      <formula>$H85=0</formula>
    </cfRule>
  </conditionalFormatting>
  <conditionalFormatting sqref="R105:R1048576">
    <cfRule type="expression" dxfId="2686" priority="978">
      <formula>$O105=0</formula>
    </cfRule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85" priority="120">
      <formula>$O1=0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84" priority="118">
      <formula>$L2=0</formula>
    </cfRule>
  </conditionalFormatting>
  <conditionalFormatting sqref="Q1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83" priority="111">
      <formula>K3&gt;0</formula>
    </cfRule>
    <cfRule type="expression" dxfId="2682" priority="112">
      <formula>K3&lt;0</formula>
    </cfRule>
  </conditionalFormatting>
  <conditionalFormatting sqref="K2 K4 K6 K8 K10 K12 K14 K16 K18 K20 K22 K24 K26 K28 K30">
    <cfRule type="expression" dxfId="2681" priority="109">
      <formula>K2&gt;0</formula>
    </cfRule>
    <cfRule type="expression" dxfId="2680" priority="110">
      <formula>K2&lt;0</formula>
    </cfRule>
  </conditionalFormatting>
  <conditionalFormatting sqref="K23 K25 K27 K29">
    <cfRule type="expression" dxfId="2679" priority="107">
      <formula>K23&gt;0</formula>
    </cfRule>
    <cfRule type="expression" dxfId="2678" priority="108">
      <formula>K23&lt;0</formula>
    </cfRule>
  </conditionalFormatting>
  <conditionalFormatting sqref="K31 K33 K40 K35 K42 K37:K38">
    <cfRule type="expression" dxfId="2677" priority="105">
      <formula>K31&gt;0</formula>
    </cfRule>
    <cfRule type="expression" dxfId="2676" priority="106">
      <formula>K31&lt;0</formula>
    </cfRule>
  </conditionalFormatting>
  <conditionalFormatting sqref="K32 K39 K34 K41 K36 K43">
    <cfRule type="expression" dxfId="2675" priority="103">
      <formula>K32&gt;0</formula>
    </cfRule>
    <cfRule type="expression" dxfId="2674" priority="104">
      <formula>K32&lt;0</formula>
    </cfRule>
  </conditionalFormatting>
  <conditionalFormatting sqref="K45 K47 K49 K51 K53">
    <cfRule type="expression" dxfId="2673" priority="101">
      <formula>K45&gt;0</formula>
    </cfRule>
    <cfRule type="expression" dxfId="2672" priority="102">
      <formula>K45&lt;0</formula>
    </cfRule>
  </conditionalFormatting>
  <conditionalFormatting sqref="K46 K48 K50 K52">
    <cfRule type="expression" dxfId="2671" priority="99">
      <formula>K46&gt;0</formula>
    </cfRule>
    <cfRule type="expression" dxfId="2670" priority="100">
      <formula>K46&lt;0</formula>
    </cfRule>
  </conditionalFormatting>
  <conditionalFormatting sqref="K54 K56 K58 K60">
    <cfRule type="expression" dxfId="2669" priority="97">
      <formula>K54&gt;0</formula>
    </cfRule>
    <cfRule type="expression" dxfId="2668" priority="98">
      <formula>K54&lt;0</formula>
    </cfRule>
  </conditionalFormatting>
  <conditionalFormatting sqref="K55 K57 K59">
    <cfRule type="expression" dxfId="2667" priority="95">
      <formula>K55&gt;0</formula>
    </cfRule>
    <cfRule type="expression" dxfId="2666" priority="96">
      <formula>K55&lt;0</formula>
    </cfRule>
  </conditionalFormatting>
  <conditionalFormatting sqref="K68 K70 K72 K74">
    <cfRule type="expression" dxfId="2665" priority="93">
      <formula>K68&gt;0</formula>
    </cfRule>
    <cfRule type="expression" dxfId="2664" priority="94">
      <formula>K68&lt;0</formula>
    </cfRule>
  </conditionalFormatting>
  <conditionalFormatting sqref="K69 K71 K73">
    <cfRule type="expression" dxfId="2663" priority="91">
      <formula>K69&gt;0</formula>
    </cfRule>
    <cfRule type="expression" dxfId="2662" priority="92">
      <formula>K69&lt;0</formula>
    </cfRule>
  </conditionalFormatting>
  <conditionalFormatting sqref="K75 K77 K79 K81 K83">
    <cfRule type="expression" dxfId="2661" priority="89">
      <formula>K75&gt;0</formula>
    </cfRule>
    <cfRule type="expression" dxfId="2660" priority="90">
      <formula>K75&lt;0</formula>
    </cfRule>
  </conditionalFormatting>
  <conditionalFormatting sqref="K76 K78 K80 K82">
    <cfRule type="expression" dxfId="2659" priority="87">
      <formula>K76&gt;0</formula>
    </cfRule>
    <cfRule type="expression" dxfId="2658" priority="88">
      <formula>K76&lt;0</formula>
    </cfRule>
  </conditionalFormatting>
  <conditionalFormatting sqref="K82 K84 K88 K90">
    <cfRule type="expression" dxfId="2657" priority="85">
      <formula>K82&gt;0</formula>
    </cfRule>
    <cfRule type="expression" dxfId="2656" priority="86">
      <formula>K82&lt;0</formula>
    </cfRule>
  </conditionalFormatting>
  <conditionalFormatting sqref="K83 K85 K87 K89">
    <cfRule type="expression" dxfId="2655" priority="83">
      <formula>K83&gt;0</formula>
    </cfRule>
    <cfRule type="expression" dxfId="2654" priority="84">
      <formula>K83&lt;0</formula>
    </cfRule>
  </conditionalFormatting>
  <conditionalFormatting sqref="M105:M200">
    <cfRule type="expression" dxfId="2653" priority="81">
      <formula>$J105=0</formula>
    </cfRule>
  </conditionalFormatting>
  <conditionalFormatting sqref="M105:M458">
    <cfRule type="expression" dxfId="2652" priority="82">
      <formula>$J105&lt;0</formula>
    </cfRule>
  </conditionalFormatting>
  <conditionalFormatting sqref="M3 M5 M7 M9 M11 M13 M15 M17 M19 M21">
    <cfRule type="expression" dxfId="2651" priority="79">
      <formula>M3&gt;0</formula>
    </cfRule>
    <cfRule type="expression" dxfId="2650" priority="80">
      <formula>M3&lt;0</formula>
    </cfRule>
  </conditionalFormatting>
  <conditionalFormatting sqref="M2 M4 M6 M8 M10 M12 M14 M16 M18 M20 M22 M24 M26 M28 M30">
    <cfRule type="expression" dxfId="2649" priority="77">
      <formula>M2&gt;0</formula>
    </cfRule>
    <cfRule type="expression" dxfId="2648" priority="78">
      <formula>M2&lt;0</formula>
    </cfRule>
  </conditionalFormatting>
  <conditionalFormatting sqref="M23 M25 M27 M29">
    <cfRule type="expression" dxfId="2647" priority="75">
      <formula>M23&gt;0</formula>
    </cfRule>
    <cfRule type="expression" dxfId="2646" priority="76">
      <formula>M23&lt;0</formula>
    </cfRule>
  </conditionalFormatting>
  <conditionalFormatting sqref="M31 M33 M40 M35 M42 M37:M38">
    <cfRule type="expression" dxfId="2645" priority="73">
      <formula>M31&gt;0</formula>
    </cfRule>
    <cfRule type="expression" dxfId="2644" priority="74">
      <formula>M31&lt;0</formula>
    </cfRule>
  </conditionalFormatting>
  <conditionalFormatting sqref="M32 M39 M34 M41 M36 M43">
    <cfRule type="expression" dxfId="2643" priority="71">
      <formula>M32&gt;0</formula>
    </cfRule>
    <cfRule type="expression" dxfId="2642" priority="72">
      <formula>M32&lt;0</formula>
    </cfRule>
  </conditionalFormatting>
  <conditionalFormatting sqref="M45 M47 M49 M51 M53">
    <cfRule type="expression" dxfId="2641" priority="69">
      <formula>M45&gt;0</formula>
    </cfRule>
    <cfRule type="expression" dxfId="2640" priority="70">
      <formula>M45&lt;0</formula>
    </cfRule>
  </conditionalFormatting>
  <conditionalFormatting sqref="M46 M48 M50 M52">
    <cfRule type="expression" dxfId="2639" priority="67">
      <formula>M46&gt;0</formula>
    </cfRule>
    <cfRule type="expression" dxfId="2638" priority="68">
      <formula>M46&lt;0</formula>
    </cfRule>
  </conditionalFormatting>
  <conditionalFormatting sqref="M54 M56 M58 M60">
    <cfRule type="expression" dxfId="2637" priority="65">
      <formula>M54&gt;0</formula>
    </cfRule>
    <cfRule type="expression" dxfId="2636" priority="66">
      <formula>M54&lt;0</formula>
    </cfRule>
  </conditionalFormatting>
  <conditionalFormatting sqref="M55 M57 M59 M61">
    <cfRule type="expression" dxfId="2635" priority="63">
      <formula>M55&gt;0</formula>
    </cfRule>
    <cfRule type="expression" dxfId="2634" priority="64">
      <formula>M55&lt;0</formula>
    </cfRule>
  </conditionalFormatting>
  <conditionalFormatting sqref="M68 M70 M72 M74">
    <cfRule type="expression" dxfId="2633" priority="61">
      <formula>M68&gt;0</formula>
    </cfRule>
    <cfRule type="expression" dxfId="2632" priority="62">
      <formula>M68&lt;0</formula>
    </cfRule>
  </conditionalFormatting>
  <conditionalFormatting sqref="M67 M69 M71 M73">
    <cfRule type="expression" dxfId="2631" priority="59">
      <formula>M67&gt;0</formula>
    </cfRule>
    <cfRule type="expression" dxfId="2630" priority="60">
      <formula>M67&lt;0</formula>
    </cfRule>
  </conditionalFormatting>
  <conditionalFormatting sqref="M75 M77 M79 M81 M83">
    <cfRule type="expression" dxfId="2629" priority="57">
      <formula>M75&gt;0</formula>
    </cfRule>
    <cfRule type="expression" dxfId="2628" priority="58">
      <formula>M75&lt;0</formula>
    </cfRule>
  </conditionalFormatting>
  <conditionalFormatting sqref="M76 M78 M80 M82">
    <cfRule type="expression" dxfId="2627" priority="55">
      <formula>M76&gt;0</formula>
    </cfRule>
    <cfRule type="expression" dxfId="2626" priority="56">
      <formula>M76&lt;0</formula>
    </cfRule>
  </conditionalFormatting>
  <conditionalFormatting sqref="M82 M84 M88 M90">
    <cfRule type="expression" dxfId="2625" priority="53">
      <formula>M82&gt;0</formula>
    </cfRule>
    <cfRule type="expression" dxfId="2624" priority="54">
      <formula>M82&lt;0</formula>
    </cfRule>
  </conditionalFormatting>
  <conditionalFormatting sqref="M83 M85 M87 M89">
    <cfRule type="expression" dxfId="2623" priority="51">
      <formula>M83&gt;0</formula>
    </cfRule>
    <cfRule type="expression" dxfId="2622" priority="52">
      <formula>M83&lt;0</formula>
    </cfRule>
  </conditionalFormatting>
  <conditionalFormatting sqref="L105:L200">
    <cfRule type="expression" dxfId="2621" priority="49">
      <formula>$J105=0</formula>
    </cfRule>
  </conditionalFormatting>
  <conditionalFormatting sqref="L105:L458">
    <cfRule type="expression" dxfId="2620" priority="50">
      <formula>$J105&lt;0</formula>
    </cfRule>
  </conditionalFormatting>
  <conditionalFormatting sqref="L3 L5 L7 L9 L11 L13 L15 L17 L19 L21">
    <cfRule type="expression" dxfId="2619" priority="47">
      <formula>L3&gt;0</formula>
    </cfRule>
    <cfRule type="expression" dxfId="2618" priority="48">
      <formula>L3&lt;0</formula>
    </cfRule>
  </conditionalFormatting>
  <conditionalFormatting sqref="L2 L4 L6 L8 L10 L12 L14 L16 L18 L20 L22 L24 L26 L28 L30">
    <cfRule type="expression" dxfId="2617" priority="45">
      <formula>L2&gt;0</formula>
    </cfRule>
    <cfRule type="expression" dxfId="2616" priority="46">
      <formula>L2&lt;0</formula>
    </cfRule>
  </conditionalFormatting>
  <conditionalFormatting sqref="L23 L25 L27 L29">
    <cfRule type="expression" dxfId="2615" priority="43">
      <formula>L23&gt;0</formula>
    </cfRule>
    <cfRule type="expression" dxfId="2614" priority="44">
      <formula>L23&lt;0</formula>
    </cfRule>
  </conditionalFormatting>
  <conditionalFormatting sqref="L31 L33 L40 L35 L42 L37:L38">
    <cfRule type="expression" dxfId="2613" priority="41">
      <formula>L31&gt;0</formula>
    </cfRule>
    <cfRule type="expression" dxfId="2612" priority="42">
      <formula>L31&lt;0</formula>
    </cfRule>
  </conditionalFormatting>
  <conditionalFormatting sqref="L32 L39 L34 L41 L36 L43">
    <cfRule type="expression" dxfId="2611" priority="39">
      <formula>L32&gt;0</formula>
    </cfRule>
    <cfRule type="expression" dxfId="2610" priority="40">
      <formula>L32&lt;0</formula>
    </cfRule>
  </conditionalFormatting>
  <conditionalFormatting sqref="L45 L47 L49 L51 L53">
    <cfRule type="expression" dxfId="2609" priority="37">
      <formula>L45&gt;0</formula>
    </cfRule>
    <cfRule type="expression" dxfId="2608" priority="38">
      <formula>L45&lt;0</formula>
    </cfRule>
  </conditionalFormatting>
  <conditionalFormatting sqref="L46 L48 L50 L52">
    <cfRule type="expression" dxfId="2607" priority="35">
      <formula>L46&gt;0</formula>
    </cfRule>
    <cfRule type="expression" dxfId="2606" priority="36">
      <formula>L46&lt;0</formula>
    </cfRule>
  </conditionalFormatting>
  <conditionalFormatting sqref="L54 L56 L58 L60 L62">
    <cfRule type="expression" dxfId="2605" priority="33">
      <formula>L54&gt;0</formula>
    </cfRule>
    <cfRule type="expression" dxfId="2604" priority="34">
      <formula>L54&lt;0</formula>
    </cfRule>
  </conditionalFormatting>
  <conditionalFormatting sqref="L55 L57 L59 L61">
    <cfRule type="expression" dxfId="2603" priority="31">
      <formula>L55&gt;0</formula>
    </cfRule>
    <cfRule type="expression" dxfId="2602" priority="32">
      <formula>L55&lt;0</formula>
    </cfRule>
  </conditionalFormatting>
  <conditionalFormatting sqref="L66 L68 L70 L72 L74">
    <cfRule type="expression" dxfId="2601" priority="29">
      <formula>L66&gt;0</formula>
    </cfRule>
    <cfRule type="expression" dxfId="2600" priority="30">
      <formula>L66&lt;0</formula>
    </cfRule>
  </conditionalFormatting>
  <conditionalFormatting sqref="L58:L79">
    <cfRule type="expression" dxfId="2599" priority="27">
      <formula>L58&gt;0</formula>
    </cfRule>
    <cfRule type="expression" dxfId="2598" priority="28">
      <formula>L58&lt;0</formula>
    </cfRule>
  </conditionalFormatting>
  <conditionalFormatting sqref="L75 L77 L79 L81 L83">
    <cfRule type="expression" dxfId="2597" priority="25">
      <formula>L75&gt;0</formula>
    </cfRule>
    <cfRule type="expression" dxfId="2596" priority="26">
      <formula>L75&lt;0</formula>
    </cfRule>
  </conditionalFormatting>
  <conditionalFormatting sqref="L76 L78 L80 L82">
    <cfRule type="expression" dxfId="2595" priority="23">
      <formula>L76&gt;0</formula>
    </cfRule>
    <cfRule type="expression" dxfId="2594" priority="24">
      <formula>L76&lt;0</formula>
    </cfRule>
  </conditionalFormatting>
  <conditionalFormatting sqref="L82 L84 L88 L90">
    <cfRule type="expression" dxfId="2593" priority="21">
      <formula>L82&gt;0</formula>
    </cfRule>
    <cfRule type="expression" dxfId="2592" priority="22">
      <formula>L82&lt;0</formula>
    </cfRule>
  </conditionalFormatting>
  <conditionalFormatting sqref="L83 L85 L87 L89">
    <cfRule type="expression" dxfId="2591" priority="19">
      <formula>L83&gt;0</formula>
    </cfRule>
    <cfRule type="expression" dxfId="2590" priority="20">
      <formula>L83&lt;0</formula>
    </cfRule>
  </conditionalFormatting>
  <conditionalFormatting sqref="I1:I85 I87:I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89" priority="16">
      <formula>M44&gt;0</formula>
    </cfRule>
    <cfRule type="expression" dxfId="2588" priority="17">
      <formula>M44&lt;0</formula>
    </cfRule>
  </conditionalFormatting>
  <conditionalFormatting sqref="M62:M66">
    <cfRule type="expression" dxfId="2587" priority="14">
      <formula>M62&gt;0</formula>
    </cfRule>
    <cfRule type="expression" dxfId="2586" priority="15">
      <formula>M62&lt;0</formula>
    </cfRule>
  </conditionalFormatting>
  <conditionalFormatting sqref="E86">
    <cfRule type="expression" dxfId="2585" priority="13">
      <formula>$H86=0</formula>
    </cfRule>
  </conditionalFormatting>
  <conditionalFormatting sqref="K86">
    <cfRule type="expression" dxfId="2584" priority="11">
      <formula>K86&gt;0</formula>
    </cfRule>
    <cfRule type="expression" dxfId="2583" priority="12">
      <formula>K86&lt;0</formula>
    </cfRule>
  </conditionalFormatting>
  <conditionalFormatting sqref="M86">
    <cfRule type="expression" dxfId="2582" priority="9">
      <formula>M86&gt;0</formula>
    </cfRule>
    <cfRule type="expression" dxfId="2581" priority="10">
      <formula>M86&lt;0</formula>
    </cfRule>
  </conditionalFormatting>
  <conditionalFormatting sqref="L86">
    <cfRule type="expression" dxfId="2580" priority="7">
      <formula>L86&gt;0</formula>
    </cfRule>
    <cfRule type="expression" dxfId="2579" priority="8">
      <formula>L86&lt;0</formula>
    </cfRule>
  </conditionalFormatting>
  <conditionalFormatting sqref="I8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7:J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1048576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578" priority="1">
      <formula>K61&gt;0</formula>
    </cfRule>
    <cfRule type="expression" dxfId="2577" priority="2">
      <formula>K61&lt;0</formula>
    </cfRule>
  </conditionalFormatting>
  <hyperlinks>
    <hyperlink ref="E24" location="BIIB!A1" display="BIIB"/>
    <hyperlink ref="E25" location="MYL!A1" display="MYL"/>
    <hyperlink ref="E26" location="SIG!A1" display="SIG"/>
    <hyperlink ref="E27" location="AAPL!A1" display="AAPL"/>
    <hyperlink ref="E28" location="AXP!A1" display="AXP"/>
    <hyperlink ref="E29" location="DG!A1" display="DG"/>
    <hyperlink ref="E30" location="PINC!A1" display="PINC"/>
    <hyperlink ref="E31" location="FOXA!A1" display="FOXA"/>
    <hyperlink ref="E32" location="AOBC!A1" display="AOBC"/>
    <hyperlink ref="E33" location="LUV!A1" display="LUV"/>
    <hyperlink ref="E34" location="CCE!A1" display="CCE"/>
    <hyperlink ref="E35" location="BMY!A1" display="BMY"/>
    <hyperlink ref="E36" location="GPS!A1" display="GPS"/>
    <hyperlink ref="E37" location="AKAM!A1" display="AKAM"/>
    <hyperlink ref="E38" location="ARNC!A1" display="ARNC"/>
    <hyperlink ref="E16" location="IEMG!A1" display="IEMG"/>
    <hyperlink ref="E39" location="CVS!A1" display="CVS"/>
    <hyperlink ref="E40" location="ADBE!A1" display="ADBE"/>
    <hyperlink ref="E3" location="MRO!A1" display="MRO"/>
    <hyperlink ref="E20" location="GE!A1" display="GE"/>
    <hyperlink ref="E8" location="XRAY!A1" display="XRAY"/>
    <hyperlink ref="E17" location="XLP!A1" display="XLP"/>
    <hyperlink ref="E2" location="KR!A1" display="KR"/>
    <hyperlink ref="E41" location="F!A1" display="F"/>
    <hyperlink ref="E15" location="JNJ!A1" display="JNJ"/>
    <hyperlink ref="E13" location="ULTA!A1" display="ULTA"/>
    <hyperlink ref="E42" location="FRC!A1" display="FRC"/>
    <hyperlink ref="E43" location="AAP!A1" display="AAP"/>
    <hyperlink ref="E11" location="CMCSA!A1" display="CMCSA"/>
    <hyperlink ref="E44" location="XEC!A1" display="XEC"/>
    <hyperlink ref="E9" location="MO!A1" display="MO"/>
    <hyperlink ref="E22" location="T!A1" display="T"/>
    <hyperlink ref="E19" location="COST!A1" display="COST"/>
    <hyperlink ref="E45" location="CPN!A1" display="CPN"/>
    <hyperlink ref="E46" location="EW!A1" display="EW"/>
    <hyperlink ref="E47" location="TJX!A1" display="TJX"/>
    <hyperlink ref="E23" location="QQQ!A1" display="QQQ"/>
    <hyperlink ref="E5" location="WBA!A1" display="WBA"/>
    <hyperlink ref="E48" location="AZO!A1" display="AZO"/>
    <hyperlink ref="E49" location="FL!A1" display="FL"/>
    <hyperlink ref="E50" location="MLM!A1" display="MLM"/>
    <hyperlink ref="E51" location="KHC!A1" display="KHC"/>
    <hyperlink ref="E52" location="KBWY!A1" display="KBWY"/>
    <hyperlink ref="E4" location="AYI!A1" display="AYI"/>
    <hyperlink ref="E53" location="DIA!A1" display="DIA"/>
    <hyperlink ref="E18" location="ICE!A1" display="ICE"/>
    <hyperlink ref="E54" location="NKE!A1" display="NKE"/>
    <hyperlink ref="E10" location="MOS!A1" display="MOS"/>
    <hyperlink ref="E55" location="VGK!A1" display="VGK"/>
    <hyperlink ref="E56" location="CMG!A1" display="CMG"/>
    <hyperlink ref="E21" location="HAS!A1" display="HAS"/>
    <hyperlink ref="E57" location="HSIC!A1" display="HSIC"/>
    <hyperlink ref="E7" location="PDCO!A1" display="PDCO"/>
    <hyperlink ref="E58" location="MU!A1" display="MU"/>
    <hyperlink ref="E59" location="IP!A1" display="IP"/>
    <hyperlink ref="E60" location="INTC!A1" display="INTC"/>
    <hyperlink ref="E61" location="HES!A1" display="HES"/>
    <hyperlink ref="E62" location="UNP!A1" display="UNP"/>
    <hyperlink ref="E63" location="NCLH!A1" display="NCLH"/>
    <hyperlink ref="E64" location="SPY!A1" display="SPY"/>
    <hyperlink ref="E65" location="SWKS!A1" display="SWKS"/>
    <hyperlink ref="E66" location="CNI!A1" display="CNI"/>
    <hyperlink ref="E67" location="WFC!A1" display="WFC"/>
    <hyperlink ref="E68" location="AA!A1" display="AA"/>
    <hyperlink ref="E69" location="CF!A1" display="CF"/>
    <hyperlink ref="E70" location="TGT!A1" display="TGT"/>
    <hyperlink ref="E12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6" location="DAL!A1" display="DAL"/>
    <hyperlink ref="E77" location="TEVA!A1" display="TEVA"/>
    <hyperlink ref="E78" location="DIS!A1" display="DIS"/>
    <hyperlink ref="E79" location="FTR!A1" display="FTR"/>
    <hyperlink ref="E80" location="GILD!A1" display="GILD"/>
    <hyperlink ref="E81" location="WWD!A1" display="WWD"/>
    <hyperlink ref="E14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J87:J1048576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381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221</v>
      </c>
      <c r="R251" s="429"/>
      <c r="S251" s="410" t="s">
        <v>216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253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95595.924666668201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94408.184666668269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94407.650000000023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0.53466666824533604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76" priority="7">
      <formula>#REF!&gt;0</formula>
    </cfRule>
    <cfRule type="expression" dxfId="257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83"/>
  <sheetViews>
    <sheetView tabSelected="1" topLeftCell="F1" zoomScaleNormal="100" workbookViewId="0">
      <pane ySplit="1" topLeftCell="A667" activePane="bottomLeft" state="frozen"/>
      <selection pane="bottomLeft" activeCell="T690" sqref="T690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280</v>
      </c>
      <c r="H1" s="335" t="s">
        <v>279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775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214</v>
      </c>
      <c r="U1" s="337" t="s">
        <v>215</v>
      </c>
      <c r="V1" s="336" t="s">
        <v>219</v>
      </c>
      <c r="W1" s="336" t="s">
        <v>220</v>
      </c>
      <c r="X1" s="336" t="s">
        <v>952</v>
      </c>
      <c r="Y1" s="336" t="s">
        <v>951</v>
      </c>
      <c r="Z1" s="336" t="s">
        <v>928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94407.650000000023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4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4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4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4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4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4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4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4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4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4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4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4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4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4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4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4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4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4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4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4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4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4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4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4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4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4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4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4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4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4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4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4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4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4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4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4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4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4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4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4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4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4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4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4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4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4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4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4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4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4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4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4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4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4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4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4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4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4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4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4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4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4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4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4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4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4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4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4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4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4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4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4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4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4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4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4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4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4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4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4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4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4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4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4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4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4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4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4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4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4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4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4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4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4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4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4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4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4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4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4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4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4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4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4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4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4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4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4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4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4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4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4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4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4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4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4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4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4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4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4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4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4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4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4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4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4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4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4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4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4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4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4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4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4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4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4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4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4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4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4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4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4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4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4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4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4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4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4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4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4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4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4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4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4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4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4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4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4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4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4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4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4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4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4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4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4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4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4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4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4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4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4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4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4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4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4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4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4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4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4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4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4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4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4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4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4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4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4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4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4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4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4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4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4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4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4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4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4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4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4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4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4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4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4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4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4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4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4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4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4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4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4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4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4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4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4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4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4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4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4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4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4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4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4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4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4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2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4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2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4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2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4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2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4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2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4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2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4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2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4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2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4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2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4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2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4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2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4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2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4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2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4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2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4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2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4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2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4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2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4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2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4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2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4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2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4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2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4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38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4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2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4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2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4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2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4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2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4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2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4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2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4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2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4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2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4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2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4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2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4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2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4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2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4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2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4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2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4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2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4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2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4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2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4">
        <f t="shared" ref="Z675" si="3717">-(E675-N675)</f>
        <v>5.0514536773146324E-3</v>
      </c>
    </row>
    <row r="676" spans="1:26" ht="20.100000000000001" customHeight="1" x14ac:dyDescent="0.25">
      <c r="A676" s="160">
        <f t="shared" ref="A676" si="3718">B676-$B$2</f>
        <v>1044</v>
      </c>
      <c r="B676" s="169">
        <v>43277</v>
      </c>
      <c r="C676" s="211">
        <v>2723.06</v>
      </c>
      <c r="D676" s="168">
        <f t="shared" ref="D676" si="3719">(C676-C675)/C675</f>
        <v>2.2045806696182951E-3</v>
      </c>
      <c r="E676" s="205">
        <f t="shared" ref="E676" si="3720">(C676-$C$2)/$C$2</f>
        <v>0.2951903502596982</v>
      </c>
      <c r="F676" s="215">
        <v>7561.62</v>
      </c>
      <c r="G676" s="168">
        <f t="shared" ref="G676" si="3721">(F676-F675)/F675</f>
        <v>3.9325544344131561E-3</v>
      </c>
      <c r="H676" s="199">
        <f t="shared" ref="H676" si="3722">(F676-F$2)/F$2</f>
        <v>0.48508749533554613</v>
      </c>
      <c r="I676" s="822">
        <v>389379.96</v>
      </c>
      <c r="J676" s="170">
        <v>300000</v>
      </c>
      <c r="K676" s="170">
        <f t="shared" ref="K676" si="3723">I676-I675-J676+J675</f>
        <v>162.14000000001397</v>
      </c>
      <c r="L676" s="168">
        <f t="shared" ref="L676" si="3724">K676/I675</f>
        <v>4.165790764667814E-4</v>
      </c>
      <c r="M676" s="178">
        <f t="shared" ref="M676" si="3725">I676-J676</f>
        <v>89379.960000000021</v>
      </c>
      <c r="N676" s="180">
        <f t="shared" ref="N676" si="3726">M676/J676</f>
        <v>0.29793320000000006</v>
      </c>
      <c r="O676" s="179">
        <f t="shared" ref="O676" si="3727">N676/(A676/365.25)</f>
        <v>0.10423381350574715</v>
      </c>
      <c r="P676" s="178" t="b">
        <f t="shared" ref="P676" si="3728">L676&gt;D676</f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ref="S676" si="3729">I676-R676</f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ref="X676" si="3730">E676/(A676/365.25)/V676</f>
        <v>0.73346619555718418</v>
      </c>
      <c r="Y676" s="171">
        <f t="shared" ref="Y676" si="3731">O676/W676</f>
        <v>0.38520919785221641</v>
      </c>
      <c r="Z676" s="784">
        <f t="shared" ref="Z676" si="3732">-(E676-N676)</f>
        <v>2.742849740301867E-3</v>
      </c>
    </row>
    <row r="677" spans="1:26" ht="20.100000000000001" customHeight="1" x14ac:dyDescent="0.25">
      <c r="A677" s="160">
        <f t="shared" ref="A677" si="3733">B677-$B$2</f>
        <v>1045</v>
      </c>
      <c r="B677" s="169">
        <v>43278</v>
      </c>
      <c r="C677" s="211">
        <v>2699.23</v>
      </c>
      <c r="D677" s="168">
        <f t="shared" ref="D677" si="3734">(C677-C676)/C676</f>
        <v>-8.7511843293941113E-3</v>
      </c>
      <c r="E677" s="205">
        <f t="shared" ref="E677" si="3735">(C677-$C$2)/$C$2</f>
        <v>0.28385590076292305</v>
      </c>
      <c r="F677" s="215">
        <v>7445.08</v>
      </c>
      <c r="G677" s="168">
        <f t="shared" ref="G677" si="3736">(F677-F676)/F676</f>
        <v>-1.5412041335057827E-2</v>
      </c>
      <c r="H677" s="199">
        <f t="shared" ref="H677" si="3737">(F677-F$2)/F$2</f>
        <v>0.46219926547125717</v>
      </c>
      <c r="I677" s="822">
        <v>389218.36</v>
      </c>
      <c r="J677" s="170">
        <v>300000</v>
      </c>
      <c r="K677" s="170">
        <f t="shared" ref="K677" si="3738">I677-I676-J677+J676</f>
        <v>-161.60000000003492</v>
      </c>
      <c r="L677" s="168">
        <f t="shared" ref="L677" si="3739">K677/I676</f>
        <v>-4.1501879038673411E-4</v>
      </c>
      <c r="M677" s="178">
        <f t="shared" ref="M677" si="3740">I677-J677</f>
        <v>89218.359999999986</v>
      </c>
      <c r="N677" s="180">
        <f t="shared" ref="N677" si="3741">M677/J677</f>
        <v>0.29739453333333327</v>
      </c>
      <c r="O677" s="179">
        <f t="shared" ref="O677" si="3742">N677/(A677/365.25)</f>
        <v>0.10394579263157892</v>
      </c>
      <c r="P677" s="178" t="b">
        <f t="shared" ref="P677" si="3743">L677&gt;D677</f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ref="S677" si="3744">I677-R677</f>
        <v>101697.03999999998</v>
      </c>
      <c r="T677" s="170">
        <v>-31552</v>
      </c>
      <c r="U677" s="170">
        <f t="shared" ref="U677" si="3745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ref="X677" si="3746">E677/(A677/365.25)/V677</f>
        <v>0.70459261663957362</v>
      </c>
      <c r="Y677" s="171">
        <f t="shared" ref="Y677" si="3747">O677/W677</f>
        <v>0.38442897844932561</v>
      </c>
      <c r="Z677" s="784">
        <f t="shared" ref="Z677" si="3748">-(E677-N677)</f>
        <v>1.3538632570410214E-2</v>
      </c>
    </row>
    <row r="678" spans="1:26" ht="20.100000000000001" customHeight="1" x14ac:dyDescent="0.25">
      <c r="A678" s="160">
        <f t="shared" ref="A678" si="3749">B678-$B$2</f>
        <v>1046</v>
      </c>
      <c r="B678" s="169">
        <v>43279</v>
      </c>
      <c r="C678" s="211">
        <v>2716.31</v>
      </c>
      <c r="D678" s="168">
        <f t="shared" ref="D678" si="3750">(C678-C677)/C677</f>
        <v>6.3277305009206055E-3</v>
      </c>
      <c r="E678" s="205">
        <f t="shared" ref="E678" si="3751">(C678-$C$2)/$C$2</f>
        <v>0.2919797949049675</v>
      </c>
      <c r="F678" s="215">
        <v>7503.68</v>
      </c>
      <c r="G678" s="168">
        <f t="shared" ref="G678" si="3752">(F678-F677)/F677</f>
        <v>7.870969821680944E-3</v>
      </c>
      <c r="H678" s="199">
        <f t="shared" ref="H678" si="3753">(F678-F$2)/F$2</f>
        <v>0.4737081917630655</v>
      </c>
      <c r="I678" s="822">
        <v>385956.85</v>
      </c>
      <c r="J678" s="170">
        <v>300000</v>
      </c>
      <c r="K678" s="170">
        <f t="shared" ref="K678" si="3754">I678-I677-J678+J677</f>
        <v>-3261.5100000000093</v>
      </c>
      <c r="L678" s="168">
        <f t="shared" ref="L678" si="3755">K678/I677</f>
        <v>-8.3796406726548284E-3</v>
      </c>
      <c r="M678" s="178">
        <f t="shared" ref="M678" si="3756">I678-J678</f>
        <v>85956.849999999977</v>
      </c>
      <c r="N678" s="180">
        <f t="shared" ref="N678" si="3757">M678/J678</f>
        <v>0.28652283333333328</v>
      </c>
      <c r="O678" s="179">
        <f t="shared" ref="O678" si="3758">N678/(A678/365.25)</f>
        <v>0.10005015762428296</v>
      </c>
      <c r="P678" s="178" t="b">
        <f t="shared" ref="P678" si="3759">L678&gt;D678</f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ref="S678" si="3760">I678-R678</f>
        <v>85222.27999999997</v>
      </c>
      <c r="T678" s="170">
        <v>-31828</v>
      </c>
      <c r="U678" s="170">
        <f t="shared" ref="U678" si="3761">M678-T678</f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ref="X678" si="3762">E678/(A678/365.25)/V678</f>
        <v>0.7243631441355034</v>
      </c>
      <c r="Y678" s="171">
        <f t="shared" ref="Y678" si="3763">O678/W678</f>
        <v>0.37021904047841658</v>
      </c>
      <c r="Z678" s="784">
        <f t="shared" ref="Z678" si="3764">-(E678-N678)</f>
        <v>-5.4569615716342224E-3</v>
      </c>
    </row>
    <row r="679" spans="1:26" ht="20.100000000000001" customHeight="1" x14ac:dyDescent="0.25">
      <c r="A679" s="160">
        <f t="shared" ref="A679" si="3765">B679-$B$2</f>
        <v>1047</v>
      </c>
      <c r="B679" s="169">
        <v>43280</v>
      </c>
      <c r="C679" s="211">
        <v>2718.37</v>
      </c>
      <c r="D679" s="168">
        <f t="shared" ref="D679" si="3766">(C679-C678)/C678</f>
        <v>7.5838177527599773E-4</v>
      </c>
      <c r="E679" s="205">
        <f t="shared" ref="E679" si="3767">(C679-$C$2)/$C$2</f>
        <v>0.29295960883544825</v>
      </c>
      <c r="F679" s="215">
        <v>7510.3</v>
      </c>
      <c r="G679" s="168">
        <f t="shared" ref="G679" si="3768">(F679-F678)/F678</f>
        <v>8.8223378395665736E-4</v>
      </c>
      <c r="H679" s="199">
        <f t="shared" ref="H679" si="3769">(F679-F$2)/F$2</f>
        <v>0.47500834691753252</v>
      </c>
      <c r="I679" s="838">
        <v>386037.42</v>
      </c>
      <c r="J679" s="170">
        <v>300000</v>
      </c>
      <c r="K679" s="170">
        <f t="shared" ref="K679" si="3770">I679-I678-J679+J678</f>
        <v>80.570000000006985</v>
      </c>
      <c r="L679" s="168">
        <f t="shared" ref="L679" si="3771">K679/I678</f>
        <v>2.087539060389963E-4</v>
      </c>
      <c r="M679" s="462">
        <f t="shared" ref="M679" si="3772">I679-J679</f>
        <v>86037.419999999984</v>
      </c>
      <c r="N679" s="180">
        <f t="shared" ref="N679" si="3773">M679/J679</f>
        <v>0.28679139999999992</v>
      </c>
      <c r="O679" s="179">
        <f t="shared" ref="O679" si="3774">N679/(A679/365.25)</f>
        <v>0.1000482892550143</v>
      </c>
      <c r="P679" s="178" t="b">
        <f t="shared" ref="P679" si="3775">L679&gt;D679</f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ref="S679" si="3776">I679-R679</f>
        <v>89534.62</v>
      </c>
      <c r="T679" s="170">
        <v>-31984</v>
      </c>
      <c r="U679" s="170">
        <f t="shared" ref="U679" si="3777">M679-T679</f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ref="X679" si="3778">E679/(A679/365.25)/V679</f>
        <v>0.72663662641063287</v>
      </c>
      <c r="Y679" s="171">
        <f t="shared" ref="Y679" si="3779">O679/W679</f>
        <v>0.37048609238858166</v>
      </c>
      <c r="Z679" s="784">
        <f t="shared" ref="Z679" si="3780">-(E679-N679)</f>
        <v>-6.16820883544833E-3</v>
      </c>
    </row>
    <row r="680" spans="1:26" ht="20.100000000000001" customHeight="1" x14ac:dyDescent="0.25">
      <c r="A680" s="160">
        <f t="shared" ref="A680" si="3781">B680-$B$2</f>
        <v>1050</v>
      </c>
      <c r="B680" s="169">
        <v>43283</v>
      </c>
      <c r="C680" s="211">
        <v>2726.71</v>
      </c>
      <c r="D680" s="168">
        <f t="shared" ref="D680" si="3782">(C680-C679)/C679</f>
        <v>3.0680150237091144E-3</v>
      </c>
      <c r="E680" s="205">
        <f t="shared" ref="E680" si="3783">(C680-$C$2)/$C$2</f>
        <v>0.29692642834040445</v>
      </c>
      <c r="F680" s="215">
        <v>7567.68</v>
      </c>
      <c r="G680" s="168">
        <f t="shared" ref="G680" si="3784">(F680-F679)/F679</f>
        <v>7.6401741608191562E-3</v>
      </c>
      <c r="H680" s="199">
        <f t="shared" ref="H680" si="3785">(F680-F$2)/F$2</f>
        <v>0.48627766757664448</v>
      </c>
      <c r="I680" s="822">
        <v>385840.77</v>
      </c>
      <c r="J680" s="170">
        <v>300000</v>
      </c>
      <c r="K680" s="170">
        <f t="shared" ref="K680" si="3786">I680-I679-J680+J679</f>
        <v>-196.64999999996508</v>
      </c>
      <c r="L680" s="168">
        <f t="shared" ref="L680" si="3787">K680/I679</f>
        <v>-5.0940657514487867E-4</v>
      </c>
      <c r="M680" s="178">
        <f t="shared" ref="M680" si="3788">I680-J680</f>
        <v>85840.770000000019</v>
      </c>
      <c r="N680" s="180">
        <f t="shared" ref="N680" si="3789">M680/J680</f>
        <v>0.28613590000000005</v>
      </c>
      <c r="O680" s="179">
        <f t="shared" ref="O680" si="3790">N680/(A680/365.25)</f>
        <v>9.9534416642857157E-2</v>
      </c>
      <c r="P680" s="178" t="b">
        <f t="shared" ref="P680" si="3791">L680&gt;D680</f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ref="S680" si="3792">I680-R680</f>
        <v>83279.660000000033</v>
      </c>
      <c r="T680" s="170">
        <v>-32060</v>
      </c>
      <c r="U680" s="170">
        <f t="shared" ref="U680" si="3793">M680-T680</f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ref="X680" si="3794">E680/(A680/365.25)/V680</f>
        <v>0.73486588403460684</v>
      </c>
      <c r="Y680" s="171">
        <f t="shared" ref="Y680" si="3795">O680/W680</f>
        <v>0.36885449351182442</v>
      </c>
      <c r="Z680" s="784">
        <f t="shared" ref="Z680" si="3796">-(E680-N680)</f>
        <v>-1.0790528340404393E-2</v>
      </c>
    </row>
    <row r="681" spans="1:26" ht="20.100000000000001" customHeight="1" x14ac:dyDescent="0.25">
      <c r="A681" s="160">
        <f t="shared" ref="A681" si="3797">B681-$B$2</f>
        <v>1051</v>
      </c>
      <c r="B681" s="169">
        <v>43284</v>
      </c>
      <c r="C681" s="211">
        <v>2713.22</v>
      </c>
      <c r="D681" s="168">
        <f t="shared" ref="D681:D682" si="3798">(C681-C680)/C680</f>
        <v>-4.9473541374037708E-3</v>
      </c>
      <c r="E681" s="205">
        <f t="shared" ref="E681" si="3799">(C681-$C$2)/$C$2</f>
        <v>0.29051007400924628</v>
      </c>
      <c r="F681" s="215">
        <v>7502.67</v>
      </c>
      <c r="G681" s="168">
        <f t="shared" ref="G681:G682" si="3800">(F681-F680)/F680</f>
        <v>-8.5904795128758371E-3</v>
      </c>
      <c r="H681" s="199">
        <f t="shared" ref="H681" si="3801">(F681-F$2)/F$2</f>
        <v>0.47350982972288241</v>
      </c>
      <c r="I681" s="822">
        <v>389787.46</v>
      </c>
      <c r="J681" s="170">
        <v>300000</v>
      </c>
      <c r="K681" s="170">
        <f t="shared" ref="K681:K682" si="3802">I681-I680-J681+J680</f>
        <v>3946.6900000000023</v>
      </c>
      <c r="L681" s="168">
        <f t="shared" ref="L681:L682" si="3803">K681/I680</f>
        <v>1.0228805006790759E-2</v>
      </c>
      <c r="M681" s="178">
        <f t="shared" ref="M681" si="3804">I681-J681</f>
        <v>89787.460000000021</v>
      </c>
      <c r="N681" s="180">
        <f t="shared" ref="N681" si="3805">M681/J681</f>
        <v>0.29929153333333341</v>
      </c>
      <c r="O681" s="179">
        <f t="shared" ref="O681" si="3806">N681/(A681/365.25)</f>
        <v>0.10401163896289252</v>
      </c>
      <c r="P681" s="178" t="b">
        <f t="shared" ref="P681" si="3807">L681&gt;D681</f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" si="3808">I681-R681</f>
        <v>101410.69</v>
      </c>
      <c r="T681" s="170">
        <v>-31900</v>
      </c>
      <c r="U681" s="170">
        <f t="shared" ref="U681" si="3809">M681-T681</f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ref="X681" si="3810">E681/(A681/365.25)/V681</f>
        <v>0.71863727720044857</v>
      </c>
      <c r="Y681" s="171">
        <f t="shared" ref="Y681" si="3811">O681/W681</f>
        <v>0.38563994459650563</v>
      </c>
      <c r="Z681" s="784">
        <f t="shared" ref="Z681" si="3812">-(E681-N681)</f>
        <v>8.7814593240871375E-3</v>
      </c>
    </row>
    <row r="682" spans="1:26" ht="20.100000000000001" customHeight="1" x14ac:dyDescent="0.25">
      <c r="A682" s="160">
        <f t="shared" ref="A682" si="3813">B682-$B$2</f>
        <v>1053</v>
      </c>
      <c r="B682" s="169">
        <v>43286</v>
      </c>
      <c r="C682" s="211">
        <v>2736.61</v>
      </c>
      <c r="D682" s="168">
        <f t="shared" si="3798"/>
        <v>8.6207532009937738E-3</v>
      </c>
      <c r="E682" s="205">
        <f t="shared" ref="E682" si="3814">(C682-$C$2)/$C$2</f>
        <v>0.30163524286067617</v>
      </c>
      <c r="F682" s="215">
        <v>7586.42</v>
      </c>
      <c r="G682" s="168">
        <f t="shared" si="3800"/>
        <v>1.1162692748048361E-2</v>
      </c>
      <c r="H682" s="199">
        <f t="shared" ref="H682" si="3815">(F682-F$2)/F$2</f>
        <v>0.48995816721330798</v>
      </c>
      <c r="I682" s="822">
        <v>390550.57</v>
      </c>
      <c r="J682" s="170">
        <v>300000</v>
      </c>
      <c r="K682" s="170">
        <f t="shared" si="3802"/>
        <v>763.10999999998603</v>
      </c>
      <c r="L682" s="168">
        <f t="shared" si="3803"/>
        <v>1.9577592362770881E-3</v>
      </c>
      <c r="M682" s="178">
        <f t="shared" ref="M682" si="3816">I682-J682</f>
        <v>90550.57</v>
      </c>
      <c r="N682" s="180">
        <f t="shared" ref="N682" si="3817">M682/J682</f>
        <v>0.30183523333333334</v>
      </c>
      <c r="O682" s="179">
        <f t="shared" ref="O682" si="3818">N682/(A682/365.25)</f>
        <v>0.10469640928300096</v>
      </c>
      <c r="P682" s="178" t="b">
        <f t="shared" ref="P682" si="3819">L682&gt;D682</f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ref="S682" si="3820">I682-R682</f>
        <v>127602.71000000002</v>
      </c>
      <c r="T682" s="170">
        <v>-31952</v>
      </c>
      <c r="U682" s="170">
        <f t="shared" ref="U682" si="3821">M682-T682</f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ref="X682" si="3822">E682/(A682/365.25)/V682</f>
        <v>0.74481810973934559</v>
      </c>
      <c r="Y682" s="171">
        <f t="shared" ref="Y682" si="3823">O682/W682</f>
        <v>0.38846327552275861</v>
      </c>
      <c r="Z682" s="784">
        <f t="shared" ref="Z682" si="3824">-(E682-N682)</f>
        <v>1.999904726571744E-4</v>
      </c>
    </row>
    <row r="683" spans="1:26" ht="20.100000000000001" customHeight="1" x14ac:dyDescent="0.25">
      <c r="A683" s="160">
        <f t="shared" ref="A683" si="3825">B683-$B$2</f>
        <v>1054</v>
      </c>
      <c r="B683" s="169">
        <v>43287</v>
      </c>
      <c r="C683" s="211">
        <v>2759.82</v>
      </c>
      <c r="D683" s="168">
        <f t="shared" ref="D683" si="3826">(C683-C682)/C682</f>
        <v>8.4812962022356251E-3</v>
      </c>
      <c r="E683" s="205">
        <f t="shared" ref="E683" si="3827">(C683-$C$2)/$C$2</f>
        <v>0.31267479690264649</v>
      </c>
      <c r="F683" s="215">
        <v>7688.38</v>
      </c>
      <c r="G683" s="168">
        <f t="shared" ref="G683" si="3828">(F683-F682)/F682</f>
        <v>1.3439804281861541E-2</v>
      </c>
      <c r="H683" s="199">
        <f t="shared" ref="H683" si="3829">(F683-F$2)/F$2</f>
        <v>0.50998291336881596</v>
      </c>
      <c r="I683" s="822">
        <v>394407.65</v>
      </c>
      <c r="J683" s="170">
        <v>300000</v>
      </c>
      <c r="K683" s="170">
        <f t="shared" ref="K683" si="3830">I683-I682-J683+J682</f>
        <v>3857.0800000000163</v>
      </c>
      <c r="L683" s="168">
        <f t="shared" ref="L683" si="3831">K683/I682</f>
        <v>9.8760065821950176E-3</v>
      </c>
      <c r="M683" s="178">
        <f t="shared" ref="M683" si="3832">I683-J683</f>
        <v>94407.650000000023</v>
      </c>
      <c r="N683" s="180">
        <f t="shared" ref="N683" si="3833">M683/J683</f>
        <v>0.31469216666666672</v>
      </c>
      <c r="O683" s="179">
        <f t="shared" ref="O683" si="3834">N683/(A683/365.25)</f>
        <v>0.10905247995730552</v>
      </c>
      <c r="P683" s="178" t="b">
        <f t="shared" ref="P683" si="3835">L683&gt;D683</f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ref="S683" si="3836">I683-R683</f>
        <v>168330.77000000002</v>
      </c>
      <c r="T683" s="170">
        <v>-31820</v>
      </c>
      <c r="U683" s="170">
        <f t="shared" ref="U683" si="3837">M683-T683</f>
        <v>126227.65000000002</v>
      </c>
      <c r="V683" s="180">
        <f>STDEV(D$2:D683)*SQRT(252)</f>
        <v>0.14045543259882526</v>
      </c>
      <c r="W683" s="180">
        <f>STDEV(L$2:L683)*SQRT(252)</f>
        <v>0.26937466561430695</v>
      </c>
      <c r="X683" s="171">
        <f t="shared" ref="X683" si="3838">E683/(A683/365.25)/V683</f>
        <v>0.77144318794023969</v>
      </c>
      <c r="Y683" s="171">
        <f t="shared" ref="Y683" si="3839">O683/W683</f>
        <v>0.40483569495524807</v>
      </c>
      <c r="Z683" s="784">
        <f t="shared" ref="Z683" si="3840">-(E683-N683)</f>
        <v>2.0173697640202271E-3</v>
      </c>
    </row>
  </sheetData>
  <conditionalFormatting sqref="L684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83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83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83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298.81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298.81</v>
      </c>
      <c r="R4" s="490">
        <v>1.8100000000000002E-2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328.69100000000003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325.7029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322.71480000000003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319.72669999999999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316.73860000000002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313.75049999999999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310.76240000000001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307.77429999999998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304.78620000000001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301.79809999999998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298.81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295.82190000000003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292.8338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289.84570000000002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286.85759999999999</v>
      </c>
      <c r="U57" s="470"/>
    </row>
    <row r="58" spans="1:21" x14ac:dyDescent="0.25">
      <c r="O58" s="81">
        <v>0.95</v>
      </c>
      <c r="P58" s="81">
        <f t="shared" si="3"/>
        <v>283.86950000000002</v>
      </c>
      <c r="U58" s="470"/>
    </row>
    <row r="59" spans="1:21" x14ac:dyDescent="0.25">
      <c r="O59" s="81">
        <v>0.94</v>
      </c>
      <c r="P59" s="81">
        <f t="shared" si="3"/>
        <v>280.88139999999999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277.89330000000001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274.90520000000004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271.9171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268.92900000000003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74" priority="58">
      <formula>F19&gt;0</formula>
    </cfRule>
    <cfRule type="expression" dxfId="257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72" priority="47">
      <formula>H25&gt;0</formula>
    </cfRule>
    <cfRule type="expression" dxfId="2571" priority="48">
      <formula>H25&lt;0</formula>
    </cfRule>
  </conditionalFormatting>
  <conditionalFormatting sqref="M39">
    <cfRule type="expression" dxfId="2570" priority="45">
      <formula>M39&gt;0</formula>
    </cfRule>
    <cfRule type="expression" dxfId="2569" priority="46">
      <formula>M39&lt;0</formula>
    </cfRule>
  </conditionalFormatting>
  <conditionalFormatting sqref="F61:F67">
    <cfRule type="expression" dxfId="2568" priority="43">
      <formula>F61&gt;0</formula>
    </cfRule>
    <cfRule type="expression" dxfId="2567" priority="44">
      <formula>F61&lt;0</formula>
    </cfRule>
  </conditionalFormatting>
  <conditionalFormatting sqref="H61:H67">
    <cfRule type="expression" dxfId="2566" priority="41">
      <formula>H61&gt;0</formula>
    </cfRule>
    <cfRule type="expression" dxfId="2565" priority="42">
      <formula>H61&lt;0</formula>
    </cfRule>
  </conditionalFormatting>
  <conditionalFormatting sqref="F21:F24">
    <cfRule type="expression" dxfId="2564" priority="39">
      <formula>F21&gt;0</formula>
    </cfRule>
    <cfRule type="expression" dxfId="2563" priority="40">
      <formula>F21&lt;0</formula>
    </cfRule>
  </conditionalFormatting>
  <conditionalFormatting sqref="H21:H24">
    <cfRule type="expression" dxfId="2562" priority="37">
      <formula>H21&gt;0</formula>
    </cfRule>
    <cfRule type="expression" dxfId="2561" priority="38">
      <formula>H21&lt;0</formula>
    </cfRule>
  </conditionalFormatting>
  <conditionalFormatting sqref="I25:I28">
    <cfRule type="expression" dxfId="2560" priority="31">
      <formula>I25&gt;0</formula>
    </cfRule>
    <cfRule type="expression" dxfId="2559" priority="32">
      <formula>I25&lt;0</formula>
    </cfRule>
  </conditionalFormatting>
  <conditionalFormatting sqref="I21:I24">
    <cfRule type="expression" dxfId="2558" priority="29">
      <formula>I21&gt;0</formula>
    </cfRule>
    <cfRule type="expression" dxfId="2557" priority="30">
      <formula>I21&lt;0</formula>
    </cfRule>
  </conditionalFormatting>
  <conditionalFormatting sqref="H29">
    <cfRule type="expression" dxfId="2556" priority="27">
      <formula>H29&gt;0</formula>
    </cfRule>
    <cfRule type="expression" dxfId="2555" priority="28">
      <formula>H29&lt;0</formula>
    </cfRule>
  </conditionalFormatting>
  <conditionalFormatting sqref="H30">
    <cfRule type="expression" dxfId="2554" priority="25">
      <formula>H30&gt;0</formula>
    </cfRule>
    <cfRule type="expression" dxfId="2553" priority="26">
      <formula>H30&lt;0</formula>
    </cfRule>
  </conditionalFormatting>
  <conditionalFormatting sqref="H31">
    <cfRule type="expression" dxfId="2552" priority="23">
      <formula>H31&gt;0</formula>
    </cfRule>
    <cfRule type="expression" dxfId="2551" priority="24">
      <formula>H31&lt;0</formula>
    </cfRule>
  </conditionalFormatting>
  <conditionalFormatting sqref="Q7">
    <cfRule type="expression" dxfId="2550" priority="21">
      <formula>Q7&gt;0</formula>
    </cfRule>
    <cfRule type="expression" dxfId="2549" priority="22">
      <formula>Q7&lt;0</formula>
    </cfRule>
  </conditionalFormatting>
  <conditionalFormatting sqref="Q8">
    <cfRule type="expression" dxfId="2548" priority="19">
      <formula>Q8&gt;0</formula>
    </cfRule>
    <cfRule type="expression" dxfId="2547" priority="20">
      <formula>Q8&lt;0</formula>
    </cfRule>
  </conditionalFormatting>
  <conditionalFormatting sqref="F73:F82">
    <cfRule type="expression" dxfId="2546" priority="17">
      <formula>F73&gt;0</formula>
    </cfRule>
    <cfRule type="expression" dxfId="2545" priority="18">
      <formula>F73&lt;0</formula>
    </cfRule>
  </conditionalFormatting>
  <conditionalFormatting sqref="H73:H76">
    <cfRule type="expression" dxfId="2544" priority="15">
      <formula>H73&gt;0</formula>
    </cfRule>
    <cfRule type="expression" dxfId="2543" priority="16">
      <formula>H73&lt;0</formula>
    </cfRule>
  </conditionalFormatting>
  <conditionalFormatting sqref="F69:F72">
    <cfRule type="expression" dxfId="2542" priority="13">
      <formula>F69&gt;0</formula>
    </cfRule>
    <cfRule type="expression" dxfId="2541" priority="14">
      <formula>F69&lt;0</formula>
    </cfRule>
  </conditionalFormatting>
  <conditionalFormatting sqref="H69:H72">
    <cfRule type="expression" dxfId="2540" priority="11">
      <formula>H69&gt;0</formula>
    </cfRule>
    <cfRule type="expression" dxfId="2539" priority="12">
      <formula>H69&lt;0</formula>
    </cfRule>
  </conditionalFormatting>
  <conditionalFormatting sqref="I73:I76">
    <cfRule type="expression" dxfId="2538" priority="9">
      <formula>I73&gt;0</formula>
    </cfRule>
    <cfRule type="expression" dxfId="2537" priority="10">
      <formula>I73&lt;0</formula>
    </cfRule>
  </conditionalFormatting>
  <conditionalFormatting sqref="I69:I72">
    <cfRule type="expression" dxfId="2536" priority="7">
      <formula>I69&gt;0</formula>
    </cfRule>
    <cfRule type="expression" dxfId="2535" priority="8">
      <formula>I69&lt;0</formula>
    </cfRule>
  </conditionalFormatting>
  <conditionalFormatting sqref="H77">
    <cfRule type="expression" dxfId="2534" priority="5">
      <formula>H77&gt;0</formula>
    </cfRule>
    <cfRule type="expression" dxfId="2533" priority="6">
      <formula>H77&lt;0</formula>
    </cfRule>
  </conditionalFormatting>
  <conditionalFormatting sqref="H78">
    <cfRule type="expression" dxfId="2532" priority="3">
      <formula>H78&gt;0</formula>
    </cfRule>
    <cfRule type="expression" dxfId="2531" priority="4">
      <formula>H78&lt;0</formula>
    </cfRule>
  </conditionalFormatting>
  <conditionalFormatting sqref="H79">
    <cfRule type="expression" dxfId="2530" priority="1">
      <formula>H79&gt;0</formula>
    </cfRule>
    <cfRule type="expression" dxfId="252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36.28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36.28</v>
      </c>
      <c r="R4" s="490">
        <v>8.8999999999999999E-3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207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39.908000000000001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39.545200000000001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39.182400000000001</v>
      </c>
      <c r="Q45" s="2"/>
      <c r="T45" s="106" t="s">
        <v>99</v>
      </c>
      <c r="U45" s="352" t="s">
        <v>558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38.819600000000001</v>
      </c>
      <c r="Q46" s="2"/>
      <c r="T46" s="106" t="s">
        <v>100</v>
      </c>
      <c r="U46" s="352" t="s">
        <v>559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38.456800000000001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38.094000000000001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37.731200000000001</v>
      </c>
      <c r="Q49" s="2"/>
      <c r="T49" s="106" t="s">
        <v>121</v>
      </c>
      <c r="U49" s="352" t="s">
        <v>421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37.368400000000001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37.005600000000001</v>
      </c>
      <c r="Q51" s="2"/>
      <c r="T51" s="106" t="s">
        <v>104</v>
      </c>
      <c r="U51" s="352" t="s">
        <v>560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36.642800000000001</v>
      </c>
      <c r="Q52" s="2"/>
      <c r="T52" s="106" t="s">
        <v>105</v>
      </c>
      <c r="U52" s="352" t="s">
        <v>411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36.28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35.917200000000001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35.554400000000001</v>
      </c>
      <c r="Q55" s="2"/>
      <c r="T55" s="106" t="s">
        <v>107</v>
      </c>
      <c r="U55" s="352" t="s">
        <v>561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35.191600000000001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34.828800000000001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34.466000000000001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34.103200000000001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33.740400000000001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33.377600000000001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33.014800000000001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32.652000000000001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28" priority="29">
      <formula>N19&gt;0</formula>
    </cfRule>
    <cfRule type="expression" dxfId="252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26" priority="23">
      <formula>F22&gt;0</formula>
    </cfRule>
    <cfRule type="expression" dxfId="2525" priority="24">
      <formula>F22&lt;0</formula>
    </cfRule>
  </conditionalFormatting>
  <conditionalFormatting sqref="H22:H31">
    <cfRule type="expression" dxfId="2524" priority="21">
      <formula>H22&gt;0</formula>
    </cfRule>
    <cfRule type="expression" dxfId="2523" priority="22">
      <formula>H22&lt;0</formula>
    </cfRule>
  </conditionalFormatting>
  <conditionalFormatting sqref="I21:J31">
    <cfRule type="expression" dxfId="2522" priority="19">
      <formula>I21&gt;0</formula>
    </cfRule>
    <cfRule type="expression" dxfId="2521" priority="20">
      <formula>I21&lt;0</formula>
    </cfRule>
  </conditionalFormatting>
  <conditionalFormatting sqref="Q8">
    <cfRule type="expression" dxfId="2520" priority="11">
      <formula>Q8&gt;0</formula>
    </cfRule>
    <cfRule type="expression" dxfId="2519" priority="12">
      <formula>Q8&lt;0</formula>
    </cfRule>
  </conditionalFormatting>
  <conditionalFormatting sqref="Q7">
    <cfRule type="expression" dxfId="2518" priority="13">
      <formula>Q7&gt;0</formula>
    </cfRule>
    <cfRule type="expression" dxfId="2517" priority="14">
      <formula>Q7&lt;0</formula>
    </cfRule>
  </conditionalFormatting>
  <conditionalFormatting sqref="F56:F66">
    <cfRule type="expression" dxfId="2516" priority="9">
      <formula>F56&gt;0</formula>
    </cfRule>
    <cfRule type="expression" dxfId="2515" priority="10">
      <formula>F56&lt;0</formula>
    </cfRule>
  </conditionalFormatting>
  <conditionalFormatting sqref="H56:H66">
    <cfRule type="expression" dxfId="2514" priority="7">
      <formula>H56&gt;0</formula>
    </cfRule>
    <cfRule type="expression" dxfId="2513" priority="8">
      <formula>H56&lt;0</formula>
    </cfRule>
  </conditionalFormatting>
  <conditionalFormatting sqref="I56:I66">
    <cfRule type="expression" dxfId="2512" priority="5">
      <formula>I56&gt;0</formula>
    </cfRule>
    <cfRule type="expression" dxfId="2511" priority="6">
      <formula>I56&lt;0</formula>
    </cfRule>
  </conditionalFormatting>
  <conditionalFormatting sqref="F21">
    <cfRule type="expression" dxfId="2510" priority="3">
      <formula>F21&gt;0</formula>
    </cfRule>
    <cfRule type="expression" dxfId="2509" priority="4">
      <formula>F21&lt;0</formula>
    </cfRule>
  </conditionalFormatting>
  <conditionalFormatting sqref="H21">
    <cfRule type="expression" dxfId="2508" priority="1">
      <formula>H21&gt;0</formula>
    </cfRule>
    <cfRule type="expression" dxfId="250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213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239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57.85</v>
      </c>
      <c r="T3" s="1">
        <v>43112</v>
      </c>
      <c r="U3" t="s">
        <v>882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57.85</v>
      </c>
      <c r="R4" s="222">
        <v>3.2099999999999997E-2</v>
      </c>
      <c r="T4" s="1">
        <v>43114</v>
      </c>
      <c r="U4" t="s">
        <v>881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892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782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956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208</v>
      </c>
      <c r="Q9" s="222">
        <f>IF(Q2=0, 0, Q8/Q6)</f>
        <v>0</v>
      </c>
      <c r="T9" s="151"/>
      <c r="U9" t="s">
        <v>981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207</v>
      </c>
      <c r="P10" s="33"/>
      <c r="Q10" s="2">
        <f>M177</f>
        <v>1157.8699999999953</v>
      </c>
      <c r="U10" t="s">
        <v>979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2.5583405358686258E-2</v>
      </c>
      <c r="R11" s="33">
        <f>1.48/4</f>
        <v>0.37</v>
      </c>
      <c r="U11" t="s">
        <v>980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946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973</v>
      </c>
      <c r="Q13">
        <f>Q4/4</f>
        <v>14.4625</v>
      </c>
      <c r="T13" s="1">
        <v>43212</v>
      </c>
      <c r="U13" t="s">
        <v>1024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1098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1120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1124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753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755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767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63.635000000000005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63.056500000000007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62.478000000000009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61.899500000000003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61.321000000000005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60.742500000000007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60.164000000000001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59.585500000000003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59.007000000000005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58.4285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57.85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57.271500000000003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56.692999999999998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56.1145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55.536000000000001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54.957499999999996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54.378999999999998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53.800500000000007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53.222000000000001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52.643500000000003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52.065000000000005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342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342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379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338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402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443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464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464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213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06" priority="64">
      <formula>N23&gt;0</formula>
    </cfRule>
    <cfRule type="expression" dxfId="250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04" priority="58">
      <formula>F79&gt;0</formula>
    </cfRule>
    <cfRule type="expression" dxfId="2503" priority="59">
      <formula>F79&lt;0</formula>
    </cfRule>
  </conditionalFormatting>
  <conditionalFormatting sqref="H79:H97 H101:H118">
    <cfRule type="expression" dxfId="2502" priority="56">
      <formula>H79&gt;0</formula>
    </cfRule>
    <cfRule type="expression" dxfId="2501" priority="57">
      <formula>H79&lt;0</formula>
    </cfRule>
  </conditionalFormatting>
  <conditionalFormatting sqref="I75:I97 I100:I118">
    <cfRule type="expression" dxfId="2500" priority="54">
      <formula>I75&gt;0</formula>
    </cfRule>
    <cfRule type="expression" dxfId="2499" priority="55">
      <formula>I75&lt;0</formula>
    </cfRule>
  </conditionalFormatting>
  <conditionalFormatting sqref="Q7">
    <cfRule type="expression" dxfId="2498" priority="52">
      <formula>Q7&gt;0</formula>
    </cfRule>
    <cfRule type="expression" dxfId="2497" priority="53">
      <formula>Q7&lt;0</formula>
    </cfRule>
  </conditionalFormatting>
  <conditionalFormatting sqref="Q8">
    <cfRule type="expression" dxfId="2496" priority="50">
      <formula>Q8&gt;0</formula>
    </cfRule>
    <cfRule type="expression" dxfId="2495" priority="51">
      <formula>Q8&lt;0</formula>
    </cfRule>
  </conditionalFormatting>
  <conditionalFormatting sqref="F75:F78">
    <cfRule type="expression" dxfId="2494" priority="48">
      <formula>F75&gt;0</formula>
    </cfRule>
    <cfRule type="expression" dxfId="2493" priority="49">
      <formula>F75&lt;0</formula>
    </cfRule>
  </conditionalFormatting>
  <conditionalFormatting sqref="H75:H78">
    <cfRule type="expression" dxfId="2492" priority="46">
      <formula>H75&gt;0</formula>
    </cfRule>
    <cfRule type="expression" dxfId="2491" priority="47">
      <formula>H75&lt;0</formula>
    </cfRule>
  </conditionalFormatting>
  <conditionalFormatting sqref="F100:F114">
    <cfRule type="expression" dxfId="2490" priority="40">
      <formula>F100&gt;0</formula>
    </cfRule>
    <cfRule type="expression" dxfId="2489" priority="41">
      <formula>F100&lt;0</formula>
    </cfRule>
  </conditionalFormatting>
  <conditionalFormatting sqref="H100:H114">
    <cfRule type="expression" dxfId="2488" priority="38">
      <formula>H100&gt;0</formula>
    </cfRule>
    <cfRule type="expression" dxfId="2487" priority="39">
      <formula>H100&lt;0</formula>
    </cfRule>
  </conditionalFormatting>
  <conditionalFormatting sqref="F29:F67">
    <cfRule type="expression" dxfId="2486" priority="36">
      <formula>F29&gt;0</formula>
    </cfRule>
    <cfRule type="expression" dxfId="2485" priority="37">
      <formula>F29&lt;0</formula>
    </cfRule>
  </conditionalFormatting>
  <conditionalFormatting sqref="H29:H63">
    <cfRule type="expression" dxfId="2484" priority="34">
      <formula>H29&gt;0</formula>
    </cfRule>
    <cfRule type="expression" dxfId="2483" priority="35">
      <formula>H29&lt;0</formula>
    </cfRule>
  </conditionalFormatting>
  <conditionalFormatting sqref="J38:J68">
    <cfRule type="expression" dxfId="2482" priority="32">
      <formula>J38&gt;0</formula>
    </cfRule>
    <cfRule type="expression" dxfId="2481" priority="33">
      <formula>J38&lt;0</formula>
    </cfRule>
  </conditionalFormatting>
  <conditionalFormatting sqref="J43">
    <cfRule type="expression" dxfId="2480" priority="30">
      <formula>J43&gt;0</formula>
    </cfRule>
    <cfRule type="expression" dxfId="2479" priority="31">
      <formula>J43&lt;0</formula>
    </cfRule>
  </conditionalFormatting>
  <conditionalFormatting sqref="Q9">
    <cfRule type="expression" dxfId="2478" priority="24">
      <formula>Q9&gt;0</formula>
    </cfRule>
    <cfRule type="expression" dxfId="2477" priority="25">
      <formula>Q9&lt;0</formula>
    </cfRule>
  </conditionalFormatting>
  <conditionalFormatting sqref="R4">
    <cfRule type="expression" dxfId="2476" priority="26">
      <formula>R4&gt;0</formula>
    </cfRule>
    <cfRule type="expression" dxfId="247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74" priority="21">
      <formula>F120&gt;0</formula>
    </cfRule>
    <cfRule type="expression" dxfId="2473" priority="22">
      <formula>F120&lt;0</formula>
    </cfRule>
  </conditionalFormatting>
  <conditionalFormatting sqref="H120:H160">
    <cfRule type="expression" dxfId="2472" priority="19">
      <formula>H120&gt;0</formula>
    </cfRule>
    <cfRule type="expression" dxfId="2471" priority="20">
      <formula>H120&lt;0</formula>
    </cfRule>
  </conditionalFormatting>
  <conditionalFormatting sqref="J129:J160">
    <cfRule type="expression" dxfId="2470" priority="17">
      <formula>J129&gt;0</formula>
    </cfRule>
    <cfRule type="expression" dxfId="2469" priority="18">
      <formula>J129&lt;0</formula>
    </cfRule>
  </conditionalFormatting>
  <conditionalFormatting sqref="J134">
    <cfRule type="expression" dxfId="2468" priority="15">
      <formula>J134&gt;0</formula>
    </cfRule>
    <cfRule type="expression" dxfId="2467" priority="16">
      <formula>J134&lt;0</formula>
    </cfRule>
  </conditionalFormatting>
  <conditionalFormatting sqref="J31:J40">
    <cfRule type="expression" dxfId="2466" priority="13">
      <formula>J31&gt;0</formula>
    </cfRule>
    <cfRule type="expression" dxfId="2465" priority="14">
      <formula>J31&lt;0</formula>
    </cfRule>
  </conditionalFormatting>
  <conditionalFormatting sqref="J36:J37">
    <cfRule type="expression" dxfId="2464" priority="11">
      <formula>J36&gt;0</formula>
    </cfRule>
    <cfRule type="expression" dxfId="2463" priority="12">
      <formula>J36&lt;0</formula>
    </cfRule>
  </conditionalFormatting>
  <conditionalFormatting sqref="Q10">
    <cfRule type="expression" dxfId="2462" priority="9">
      <formula>Q10&gt;0</formula>
    </cfRule>
    <cfRule type="expression" dxfId="2461" priority="10">
      <formula>Q10&lt;0</formula>
    </cfRule>
  </conditionalFormatting>
  <conditionalFormatting sqref="K38:K55 K57:K68">
    <cfRule type="expression" dxfId="2460" priority="7">
      <formula>K38&gt;0</formula>
    </cfRule>
    <cfRule type="expression" dxfId="2459" priority="8">
      <formula>K38&lt;0</formula>
    </cfRule>
  </conditionalFormatting>
  <conditionalFormatting sqref="K43">
    <cfRule type="expression" dxfId="2458" priority="5">
      <formula>K43&gt;0</formula>
    </cfRule>
    <cfRule type="expression" dxfId="2457" priority="6">
      <formula>K43&lt;0</formula>
    </cfRule>
  </conditionalFormatting>
  <conditionalFormatting sqref="K31:K40">
    <cfRule type="expression" dxfId="2456" priority="3">
      <formula>K31&gt;0</formula>
    </cfRule>
    <cfRule type="expression" dxfId="2455" priority="4">
      <formula>K31&lt;0</formula>
    </cfRule>
  </conditionalFormatting>
  <conditionalFormatting sqref="K36:K37">
    <cfRule type="expression" dxfId="2454" priority="1">
      <formula>K36&gt;0</formula>
    </cfRule>
    <cfRule type="expression" dxfId="245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185.4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185.4</v>
      </c>
      <c r="R4" s="490">
        <v>8.0000000000000002E-3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207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212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249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203.94000000000003</v>
      </c>
      <c r="Q43" s="2"/>
      <c r="T43" s="106" t="s">
        <v>100</v>
      </c>
      <c r="U43" s="352" t="s">
        <v>563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202.08600000000001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200.23200000000003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198.37800000000001</v>
      </c>
      <c r="Q46" s="2"/>
      <c r="T46" s="106" t="s">
        <v>121</v>
      </c>
      <c r="U46" s="352" t="s">
        <v>386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196.52400000000003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194.67000000000002</v>
      </c>
      <c r="Q48" s="2"/>
      <c r="T48" s="106" t="s">
        <v>104</v>
      </c>
      <c r="U48" s="352" t="s">
        <v>564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192.816</v>
      </c>
      <c r="Q49" s="2"/>
      <c r="T49" s="106" t="s">
        <v>105</v>
      </c>
      <c r="U49" s="352" t="s">
        <v>565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190.96200000000002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189.108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187.25400000000002</v>
      </c>
      <c r="Q52" s="2"/>
      <c r="T52" s="106" t="s">
        <v>107</v>
      </c>
      <c r="U52" s="352" t="s">
        <v>566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185.4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183.54599999999999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181.69200000000001</v>
      </c>
      <c r="Q55" s="2"/>
      <c r="T55" s="106" t="s">
        <v>108</v>
      </c>
      <c r="U55" s="352" t="s">
        <v>528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179.83799999999999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177.98400000000001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176.13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174.27599999999998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172.42200000000003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170.56800000000001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168.714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166.86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52" priority="35">
      <formula>N19&gt;0</formula>
    </cfRule>
    <cfRule type="expression" dxfId="245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50" priority="21">
      <formula>F25&gt;0</formula>
    </cfRule>
    <cfRule type="expression" dxfId="2449" priority="22">
      <formula>F25&lt;0</formula>
    </cfRule>
  </conditionalFormatting>
  <conditionalFormatting sqref="H25:H47">
    <cfRule type="expression" dxfId="2448" priority="19">
      <formula>H25&gt;0</formula>
    </cfRule>
    <cfRule type="expression" dxfId="2447" priority="20">
      <formula>H25&lt;0</formula>
    </cfRule>
  </conditionalFormatting>
  <conditionalFormatting sqref="I25:I27">
    <cfRule type="expression" dxfId="2446" priority="15">
      <formula>I25&gt;0</formula>
    </cfRule>
    <cfRule type="expression" dxfId="2445" priority="16">
      <formula>I25&lt;0</formula>
    </cfRule>
  </conditionalFormatting>
  <conditionalFormatting sqref="Q7">
    <cfRule type="expression" dxfId="2444" priority="5">
      <formula>Q7&gt;0</formula>
    </cfRule>
    <cfRule type="expression" dxfId="2443" priority="6">
      <formula>Q7&lt;0</formula>
    </cfRule>
  </conditionalFormatting>
  <conditionalFormatting sqref="Q8">
    <cfRule type="expression" dxfId="2442" priority="3">
      <formula>Q8&gt;0</formula>
    </cfRule>
    <cfRule type="expression" dxfId="244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244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98.53</v>
      </c>
      <c r="T3" s="1">
        <v>42572</v>
      </c>
      <c r="U3" t="s">
        <v>235</v>
      </c>
      <c r="W3" s="130">
        <v>42830</v>
      </c>
      <c r="X3" s="10" t="s">
        <v>291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98.53</v>
      </c>
      <c r="R4" s="475">
        <v>7.1000000000000004E-3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207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243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108.38300000000001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107.39770000000001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106.41240000000001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105.42710000000001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104.4418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103.45650000000001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102.47120000000001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101.4859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100.50060000000001</v>
      </c>
      <c r="Q49" s="2"/>
      <c r="T49" s="91" t="s">
        <v>103</v>
      </c>
      <c r="U49" s="127" t="s">
        <v>511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224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99.515299999999996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98.53</v>
      </c>
      <c r="Q51" s="2"/>
      <c r="T51" s="91" t="s">
        <v>104</v>
      </c>
      <c r="U51" s="127" t="s">
        <v>567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97.544700000000006</v>
      </c>
      <c r="Q52" s="2"/>
      <c r="T52" s="91" t="s">
        <v>105</v>
      </c>
      <c r="U52" s="127" t="s">
        <v>469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96.559399999999997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95.574100000000001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94.588799999999992</v>
      </c>
      <c r="T55" s="91" t="s">
        <v>107</v>
      </c>
      <c r="U55" s="127" t="s">
        <v>568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93.603499999999997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92.618200000000002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91.632900000000006</v>
      </c>
      <c r="T58" s="91" t="s">
        <v>108</v>
      </c>
      <c r="U58" s="127" t="s">
        <v>535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90.647600000000011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89.662300000000002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88.677000000000007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40" priority="9">
      <formula>F36&gt;0</formula>
    </cfRule>
    <cfRule type="expression" dxfId="2439" priority="10">
      <formula>F36&lt;0</formula>
    </cfRule>
  </conditionalFormatting>
  <conditionalFormatting sqref="F25:F35">
    <cfRule type="expression" dxfId="2438" priority="7">
      <formula>F25&gt;0</formula>
    </cfRule>
    <cfRule type="expression" dxfId="2437" priority="8">
      <formula>F25&lt;0</formula>
    </cfRule>
  </conditionalFormatting>
  <conditionalFormatting sqref="H25:H35">
    <cfRule type="expression" dxfId="2436" priority="5">
      <formula>H25&gt;0</formula>
    </cfRule>
    <cfRule type="expression" dxfId="2435" priority="6">
      <formula>H25&lt;0</formula>
    </cfRule>
  </conditionalFormatting>
  <conditionalFormatting sqref="Q7">
    <cfRule type="expression" dxfId="2434" priority="3">
      <formula>Q7&gt;0</formula>
    </cfRule>
    <cfRule type="expression" dxfId="2433" priority="4">
      <formula>Q7&lt;0</formula>
    </cfRule>
  </conditionalFormatting>
  <conditionalFormatting sqref="Q8">
    <cfRule type="expression" dxfId="2432" priority="1">
      <formula>Q8&gt;0</formula>
    </cfRule>
    <cfRule type="expression" dxfId="243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98.12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98.12</v>
      </c>
      <c r="R4" s="495">
        <v>2.0000000000000001E-4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V9" s="134"/>
    </row>
    <row r="10" spans="1:22" x14ac:dyDescent="0.25">
      <c r="H10" s="70"/>
      <c r="O10" s="11" t="s">
        <v>207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696</v>
      </c>
      <c r="P20" s="7" t="s">
        <v>697</v>
      </c>
      <c r="Q20" s="7" t="s">
        <v>698</v>
      </c>
      <c r="R20" s="7"/>
      <c r="V20" s="134"/>
    </row>
    <row r="21" spans="1:22" x14ac:dyDescent="0.25">
      <c r="O21" s="7" t="s">
        <v>699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701</v>
      </c>
      <c r="P23" s="7" t="s">
        <v>702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7" t="s">
        <v>684</v>
      </c>
      <c r="P24" s="7" t="s">
        <v>703</v>
      </c>
      <c r="Q24" s="7" t="s">
        <v>703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701</v>
      </c>
      <c r="P25" s="7" t="s">
        <v>704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705</v>
      </c>
      <c r="P26" s="7" t="s">
        <v>697</v>
      </c>
      <c r="Q26" s="7" t="s">
        <v>698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684</v>
      </c>
      <c r="P29" s="7" t="s">
        <v>703</v>
      </c>
      <c r="Q29" s="7" t="s">
        <v>703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706</v>
      </c>
      <c r="P30" s="7" t="s">
        <v>697</v>
      </c>
      <c r="Q30" s="7" t="s">
        <v>698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699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107.93200000000002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106.95080000000002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105.96960000000001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104.98840000000001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104.00720000000001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103.02600000000001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102.04480000000001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101.06360000000001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100.08240000000001</v>
      </c>
      <c r="Q49" s="2"/>
      <c r="T49" s="91" t="s">
        <v>121</v>
      </c>
      <c r="U49" s="127" t="s">
        <v>504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99.101200000000006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98.12</v>
      </c>
      <c r="Q51" s="2"/>
      <c r="T51" s="91" t="s">
        <v>104</v>
      </c>
      <c r="U51" s="127" t="s">
        <v>569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97.138800000000003</v>
      </c>
      <c r="Q52" s="2"/>
      <c r="T52" s="91" t="s">
        <v>105</v>
      </c>
      <c r="U52" s="127" t="s">
        <v>309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96.157600000000002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95.176400000000001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94.1952</v>
      </c>
      <c r="T55" s="91" t="s">
        <v>107</v>
      </c>
      <c r="U55" s="127" t="s">
        <v>570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93.213999999999999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92.232799999999997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91.25160000000001</v>
      </c>
      <c r="T58" s="91" t="s">
        <v>108</v>
      </c>
      <c r="U58" s="127" t="s">
        <v>536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90.270400000000009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89.289200000000008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88.308000000000007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265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30" priority="37">
      <formula>F25&gt;0</formula>
    </cfRule>
    <cfRule type="expression" dxfId="2429" priority="38">
      <formula>F25&lt;0</formula>
    </cfRule>
  </conditionalFormatting>
  <conditionalFormatting sqref="Q7">
    <cfRule type="expression" dxfId="2428" priority="35">
      <formula>Q7&gt;0</formula>
    </cfRule>
    <cfRule type="expression" dxfId="2427" priority="36">
      <formula>Q7&lt;0</formula>
    </cfRule>
  </conditionalFormatting>
  <conditionalFormatting sqref="Q8">
    <cfRule type="expression" dxfId="2426" priority="33">
      <formula>Q8&gt;0</formula>
    </cfRule>
    <cfRule type="expression" dxfId="2425" priority="34">
      <formula>Q8&lt;0</formula>
    </cfRule>
  </conditionalFormatting>
  <conditionalFormatting sqref="F44:F46">
    <cfRule type="expression" dxfId="2424" priority="31">
      <formula>F44&gt;0</formula>
    </cfRule>
    <cfRule type="expression" dxfId="2423" priority="32">
      <formula>F44&lt;0</formula>
    </cfRule>
  </conditionalFormatting>
  <conditionalFormatting sqref="H44:H46">
    <cfRule type="expression" dxfId="2422" priority="29">
      <formula>H44&gt;0</formula>
    </cfRule>
    <cfRule type="expression" dxfId="2421" priority="30">
      <formula>H44&lt;0</formula>
    </cfRule>
  </conditionalFormatting>
  <conditionalFormatting sqref="F89:F110">
    <cfRule type="expression" dxfId="2420" priority="27">
      <formula>F89&gt;0</formula>
    </cfRule>
    <cfRule type="expression" dxfId="2419" priority="28">
      <formula>F89&lt;0</formula>
    </cfRule>
  </conditionalFormatting>
  <conditionalFormatting sqref="H89:H110">
    <cfRule type="expression" dxfId="2418" priority="25">
      <formula>H89&gt;0</formula>
    </cfRule>
    <cfRule type="expression" dxfId="2417" priority="26">
      <formula>H89&lt;0</formula>
    </cfRule>
  </conditionalFormatting>
  <conditionalFormatting sqref="Q10">
    <cfRule type="expression" dxfId="2416" priority="23">
      <formula>Q10&gt;0</formula>
    </cfRule>
    <cfRule type="expression" dxfId="2415" priority="24">
      <formula>Q10&lt;0</formula>
    </cfRule>
  </conditionalFormatting>
  <conditionalFormatting sqref="J25:J38">
    <cfRule type="expression" dxfId="2414" priority="21">
      <formula>J25&gt;0</formula>
    </cfRule>
    <cfRule type="expression" dxfId="2413" priority="22">
      <formula>J25&lt;0</formula>
    </cfRule>
  </conditionalFormatting>
  <conditionalFormatting sqref="K25:K38">
    <cfRule type="expression" dxfId="2412" priority="19">
      <formula>K25&gt;0</formula>
    </cfRule>
    <cfRule type="expression" dxfId="2411" priority="20">
      <formula>K25&lt;0</formula>
    </cfRule>
  </conditionalFormatting>
  <conditionalFormatting sqref="L25:L38">
    <cfRule type="expression" dxfId="2410" priority="17">
      <formula>L25&gt;0</formula>
    </cfRule>
    <cfRule type="expression" dxfId="2409" priority="18">
      <formula>L25&lt;0</formula>
    </cfRule>
  </conditionalFormatting>
  <conditionalFormatting sqref="J40">
    <cfRule type="expression" dxfId="2408" priority="15">
      <formula>J40&gt;0</formula>
    </cfRule>
    <cfRule type="expression" dxfId="2407" priority="16">
      <formula>J40&lt;0</formula>
    </cfRule>
  </conditionalFormatting>
  <conditionalFormatting sqref="L39">
    <cfRule type="expression" dxfId="2406" priority="11">
      <formula>L39&gt;0</formula>
    </cfRule>
    <cfRule type="expression" dxfId="2405" priority="12">
      <formula>L39&lt;0</formula>
    </cfRule>
  </conditionalFormatting>
  <conditionalFormatting sqref="F39">
    <cfRule type="expression" dxfId="2404" priority="9">
      <formula>F39&gt;0</formula>
    </cfRule>
    <cfRule type="expression" dxfId="2403" priority="10">
      <formula>F39&lt;0</formula>
    </cfRule>
  </conditionalFormatting>
  <conditionalFormatting sqref="H39">
    <cfRule type="expression" dxfId="2402" priority="7">
      <formula>H39&gt;0</formula>
    </cfRule>
    <cfRule type="expression" dxfId="2401" priority="8">
      <formula>H39&lt;0</formula>
    </cfRule>
  </conditionalFormatting>
  <conditionalFormatting sqref="J41">
    <cfRule type="expression" dxfId="2400" priority="5">
      <formula>J41&gt;0</formula>
    </cfRule>
    <cfRule type="expression" dxfId="2399" priority="6">
      <formula>J41&lt;0</formula>
    </cfRule>
  </conditionalFormatting>
  <conditionalFormatting sqref="J43">
    <cfRule type="expression" dxfId="2398" priority="3">
      <formula>J43&gt;0</formula>
    </cfRule>
    <cfRule type="expression" dxfId="2397" priority="4">
      <formula>J43&lt;0</formula>
    </cfRule>
  </conditionalFormatting>
  <conditionalFormatting sqref="J44">
    <cfRule type="expression" dxfId="2396" priority="1">
      <formula>J44&gt;0</formula>
    </cfRule>
    <cfRule type="expression" dxfId="239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37.25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37.25</v>
      </c>
      <c r="R4" s="475">
        <v>5.4000000000000003E-3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207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207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40.975000000000001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40.602500000000006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40.230000000000004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39.857500000000002</v>
      </c>
      <c r="R43" s="81"/>
      <c r="T43" s="85" t="s">
        <v>100</v>
      </c>
      <c r="U43" s="127" t="s">
        <v>524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39.484999999999999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39.112500000000004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38.74</v>
      </c>
      <c r="R46" s="81"/>
      <c r="T46" s="85" t="s">
        <v>121</v>
      </c>
      <c r="U46" s="223" t="s">
        <v>420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38.3675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37.994999999999997</v>
      </c>
      <c r="R48" s="81"/>
      <c r="T48" s="85" t="s">
        <v>104</v>
      </c>
      <c r="U48" s="127" t="s">
        <v>571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37.622500000000002</v>
      </c>
      <c r="R49" s="81"/>
      <c r="T49" s="85" t="s">
        <v>105</v>
      </c>
      <c r="U49" s="127" t="s">
        <v>328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37.25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36.877499999999998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36.505000000000003</v>
      </c>
      <c r="R52" s="81"/>
      <c r="T52" s="85" t="s">
        <v>107</v>
      </c>
      <c r="U52" s="127" t="s">
        <v>572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36.1325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35.76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35.387499999999996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35.015000000000001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34.642499999999998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34.270000000000003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33.897500000000001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33.524999999999999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94" priority="31">
      <formula>F29&gt;0</formula>
    </cfRule>
    <cfRule type="expression" dxfId="2393" priority="32">
      <formula>F29&lt;0</formula>
    </cfRule>
  </conditionalFormatting>
  <conditionalFormatting sqref="F29 F31:F35">
    <cfRule type="expression" dxfId="2392" priority="33">
      <formula>F29&gt;0</formula>
    </cfRule>
    <cfRule type="expression" dxfId="2391" priority="34">
      <formula>F29&lt;0</formula>
    </cfRule>
  </conditionalFormatting>
  <conditionalFormatting sqref="H29 H31:H35">
    <cfRule type="expression" dxfId="2390" priority="29">
      <formula>H29&gt;0</formula>
    </cfRule>
    <cfRule type="expression" dxfId="2389" priority="30">
      <formula>H29&lt;0</formula>
    </cfRule>
  </conditionalFormatting>
  <conditionalFormatting sqref="F21:F28">
    <cfRule type="expression" dxfId="2388" priority="27">
      <formula>F21&gt;0</formula>
    </cfRule>
    <cfRule type="expression" dxfId="2387" priority="28">
      <formula>F21&lt;0</formula>
    </cfRule>
  </conditionalFormatting>
  <conditionalFormatting sqref="H21:H28">
    <cfRule type="expression" dxfId="2386" priority="25">
      <formula>H21&gt;0</formula>
    </cfRule>
    <cfRule type="expression" dxfId="2385" priority="26">
      <formula>H21&lt;0</formula>
    </cfRule>
  </conditionalFormatting>
  <conditionalFormatting sqref="Q8">
    <cfRule type="expression" dxfId="2384" priority="21">
      <formula>Q8&gt;0</formula>
    </cfRule>
    <cfRule type="expression" dxfId="2383" priority="22">
      <formula>Q8&lt;0</formula>
    </cfRule>
  </conditionalFormatting>
  <conditionalFormatting sqref="Q7">
    <cfRule type="expression" dxfId="2382" priority="23">
      <formula>Q7&gt;0</formula>
    </cfRule>
    <cfRule type="expression" dxfId="2381" priority="24">
      <formula>Q7&lt;0</formula>
    </cfRule>
  </conditionalFormatting>
  <conditionalFormatting sqref="F30">
    <cfRule type="expression" dxfId="2380" priority="19">
      <formula>F30&gt;0</formula>
    </cfRule>
    <cfRule type="expression" dxfId="2379" priority="20">
      <formula>F30&lt;0</formula>
    </cfRule>
  </conditionalFormatting>
  <conditionalFormatting sqref="H30">
    <cfRule type="expression" dxfId="2378" priority="17">
      <formula>H30&gt;0</formula>
    </cfRule>
    <cfRule type="expression" dxfId="2377" priority="18">
      <formula>H30&lt;0</formula>
    </cfRule>
  </conditionalFormatting>
  <conditionalFormatting sqref="F68 F70:F74">
    <cfRule type="expression" dxfId="2376" priority="13">
      <formula>F68&gt;0</formula>
    </cfRule>
    <cfRule type="expression" dxfId="2375" priority="14">
      <formula>F68&lt;0</formula>
    </cfRule>
  </conditionalFormatting>
  <conditionalFormatting sqref="F68 F70:F74">
    <cfRule type="expression" dxfId="2374" priority="15">
      <formula>F68&gt;0</formula>
    </cfRule>
    <cfRule type="expression" dxfId="2373" priority="16">
      <formula>F68&lt;0</formula>
    </cfRule>
  </conditionalFormatting>
  <conditionalFormatting sqref="H68 H70:H74">
    <cfRule type="expression" dxfId="2372" priority="11">
      <formula>H68&gt;0</formula>
    </cfRule>
    <cfRule type="expression" dxfId="2371" priority="12">
      <formula>H68&lt;0</formula>
    </cfRule>
  </conditionalFormatting>
  <conditionalFormatting sqref="F60:F67">
    <cfRule type="expression" dxfId="2370" priority="9">
      <formula>F60&gt;0</formula>
    </cfRule>
    <cfRule type="expression" dxfId="2369" priority="10">
      <formula>F60&lt;0</formula>
    </cfRule>
  </conditionalFormatting>
  <conditionalFormatting sqref="H60:H67">
    <cfRule type="expression" dxfId="2368" priority="7">
      <formula>H60&gt;0</formula>
    </cfRule>
    <cfRule type="expression" dxfId="2367" priority="8">
      <formula>H60&lt;0</formula>
    </cfRule>
  </conditionalFormatting>
  <conditionalFormatting sqref="F69">
    <cfRule type="expression" dxfId="2366" priority="5">
      <formula>F69&gt;0</formula>
    </cfRule>
    <cfRule type="expression" dxfId="2365" priority="6">
      <formula>F69&lt;0</formula>
    </cfRule>
  </conditionalFormatting>
  <conditionalFormatting sqref="H69">
    <cfRule type="expression" dxfId="2364" priority="3">
      <formula>H69&gt;0</formula>
    </cfRule>
    <cfRule type="expression" dxfId="2363" priority="4">
      <formula>H69&lt;0</formula>
    </cfRule>
  </conditionalFormatting>
  <conditionalFormatting sqref="Q10">
    <cfRule type="expression" dxfId="2362" priority="1">
      <formula>Q10&gt;0</formula>
    </cfRule>
    <cfRule type="expression" dxfId="23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48.74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48.74</v>
      </c>
      <c r="R4" s="475">
        <v>2.8999999999999998E-3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207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271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284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53.614000000000004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53.126600000000003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52.639200000000002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52.151800000000009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51.664400000000008</v>
      </c>
      <c r="Q45" s="2"/>
      <c r="T45" s="91" t="s">
        <v>99</v>
      </c>
      <c r="U45" s="127" t="s">
        <v>573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266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51.177000000000007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50.689600000000006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50.202200000000005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49.714800000000004</v>
      </c>
      <c r="Q49" s="2"/>
      <c r="T49" s="91" t="s">
        <v>121</v>
      </c>
      <c r="U49" s="127" t="s">
        <v>421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49.227400000000003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48.74</v>
      </c>
      <c r="Q51" s="2"/>
      <c r="T51" s="91" t="s">
        <v>104</v>
      </c>
      <c r="U51" s="127" t="s">
        <v>574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48.252600000000001</v>
      </c>
      <c r="Q52" s="2"/>
      <c r="T52" s="91" t="s">
        <v>105</v>
      </c>
      <c r="U52" s="127" t="s">
        <v>529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47.7652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47.277799999999999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46.790399999999998</v>
      </c>
      <c r="T55" s="91" t="s">
        <v>107</v>
      </c>
      <c r="U55" s="127" t="s">
        <v>575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46.302999999999997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45.815599999999996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45.328200000000002</v>
      </c>
      <c r="T58" s="91" t="s">
        <v>108</v>
      </c>
      <c r="U58" s="127" t="s">
        <v>530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44.840800000000002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44.353400000000001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43.866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60" priority="11">
      <formula>F33&gt;0</formula>
    </cfRule>
    <cfRule type="expression" dxfId="2359" priority="12">
      <formula>F33&lt;0</formula>
    </cfRule>
  </conditionalFormatting>
  <conditionalFormatting sqref="Q7">
    <cfRule type="expression" dxfId="2358" priority="9">
      <formula>Q7&gt;0</formula>
    </cfRule>
    <cfRule type="expression" dxfId="2357" priority="10">
      <formula>Q7&lt;0</formula>
    </cfRule>
  </conditionalFormatting>
  <conditionalFormatting sqref="Q8">
    <cfRule type="expression" dxfId="2356" priority="7">
      <formula>Q8&gt;0</formula>
    </cfRule>
    <cfRule type="expression" dxfId="2355" priority="8">
      <formula>Q8&lt;0</formula>
    </cfRule>
  </conditionalFormatting>
  <conditionalFormatting sqref="F25:F32">
    <cfRule type="expression" dxfId="2354" priority="5">
      <formula>F25&gt;0</formula>
    </cfRule>
    <cfRule type="expression" dxfId="2353" priority="6">
      <formula>F25&lt;0</formula>
    </cfRule>
  </conditionalFormatting>
  <conditionalFormatting sqref="H25:H32">
    <cfRule type="expression" dxfId="2352" priority="3">
      <formula>H25&gt;0</formula>
    </cfRule>
    <cfRule type="expression" dxfId="2351" priority="4">
      <formula>H25&lt;0</formula>
    </cfRule>
  </conditionalFormatting>
  <conditionalFormatting sqref="Q10">
    <cfRule type="expression" dxfId="2350" priority="1">
      <formula>Q10&gt;0</formula>
    </cfRule>
    <cfRule type="expression" dxfId="234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Q2" sqref="Q2:Q8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325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451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11.76</v>
      </c>
      <c r="T3" s="567" t="s">
        <v>474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11.76</v>
      </c>
      <c r="R4" s="475">
        <v>2.5999999999999999E-3</v>
      </c>
      <c r="T4" s="156" t="s">
        <v>475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476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838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208</v>
      </c>
      <c r="Q9" s="222">
        <f>IF(Q2=0, 0, Q8/Q6)</f>
        <v>0</v>
      </c>
      <c r="T9" s="29">
        <v>43103</v>
      </c>
      <c r="U9" t="s">
        <v>830</v>
      </c>
      <c r="AA9" s="2"/>
      <c r="AD9" s="2"/>
      <c r="AG9" s="2"/>
      <c r="AI9" s="2"/>
    </row>
    <row r="10" spans="1:39" x14ac:dyDescent="0.25">
      <c r="A10" t="s">
        <v>782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207</v>
      </c>
      <c r="P10" s="33"/>
      <c r="Q10" s="2">
        <f>M58</f>
        <v>1283.4199999999946</v>
      </c>
      <c r="U10" t="s">
        <v>831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832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995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973</v>
      </c>
      <c r="Q13">
        <f>Q4/0.32</f>
        <v>36.75</v>
      </c>
      <c r="U13" t="s">
        <v>839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870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13.523999999999999</v>
      </c>
      <c r="U16" s="475" t="s">
        <v>871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13.406399999999998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13.288799999999998</v>
      </c>
      <c r="T18" s="1">
        <v>43140</v>
      </c>
      <c r="U18" t="s">
        <v>925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13.171200000000001</v>
      </c>
      <c r="X19" s="134"/>
    </row>
    <row r="20" spans="1:39" x14ac:dyDescent="0.25">
      <c r="O20" s="81">
        <v>1.1100000000000001</v>
      </c>
      <c r="P20" s="81">
        <f t="shared" si="5"/>
        <v>13.053600000000001</v>
      </c>
      <c r="T20" s="1">
        <v>43152</v>
      </c>
      <c r="U20" t="s">
        <v>929</v>
      </c>
      <c r="X20" s="134"/>
    </row>
    <row r="21" spans="1:39" x14ac:dyDescent="0.25">
      <c r="O21" s="81">
        <v>1.1000000000000001</v>
      </c>
      <c r="P21" s="81">
        <f t="shared" si="5"/>
        <v>12.936</v>
      </c>
      <c r="X21" s="134"/>
    </row>
    <row r="22" spans="1:39" x14ac:dyDescent="0.25">
      <c r="O22" s="81">
        <v>1.0900000000000001</v>
      </c>
      <c r="P22" s="81">
        <f t="shared" si="5"/>
        <v>12.8184</v>
      </c>
      <c r="T22" s="1">
        <v>43160</v>
      </c>
      <c r="U22" t="s">
        <v>877</v>
      </c>
      <c r="X22" s="134"/>
    </row>
    <row r="23" spans="1:39" x14ac:dyDescent="0.25">
      <c r="O23" s="81">
        <v>1.08</v>
      </c>
      <c r="P23" s="81">
        <f t="shared" si="5"/>
        <v>12.700800000000001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O24" s="81">
        <v>1.07</v>
      </c>
      <c r="P24" s="81">
        <f t="shared" ref="P24:P26" si="6">O24*$Q$4</f>
        <v>12.5832</v>
      </c>
      <c r="T24" s="1">
        <v>43191</v>
      </c>
      <c r="U24" t="s">
        <v>993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12.4656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12.348000000000001</v>
      </c>
      <c r="T26" s="1">
        <v>43237</v>
      </c>
      <c r="U26" t="s">
        <v>1090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12.230399999999999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12.1128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11.995200000000001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11.877599999999999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11.76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11.6424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11.524799999999999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11.4072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11.2896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11.171999999999999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11.054399999999999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908</v>
      </c>
      <c r="J38" s="39">
        <v>880</v>
      </c>
      <c r="K38" s="39"/>
      <c r="L38" s="4"/>
      <c r="O38" s="81">
        <v>0.93</v>
      </c>
      <c r="P38" s="81">
        <f t="shared" si="19"/>
        <v>10.9368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10.8192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10.701600000000001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10.584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909</v>
      </c>
      <c r="J42" s="39">
        <v>736</v>
      </c>
      <c r="K42" s="39"/>
      <c r="L42" s="4"/>
      <c r="O42" s="81">
        <v>0.89</v>
      </c>
      <c r="P42" s="81">
        <f t="shared" ref="P42:P44" si="26">O42*$Q$4</f>
        <v>10.4664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10.348800000000001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10.231199999999999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481</v>
      </c>
      <c r="T47" s="567" t="s">
        <v>474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485</v>
      </c>
      <c r="T48" s="22" t="s">
        <v>484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486</v>
      </c>
      <c r="T49" s="22" t="s">
        <v>487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488</v>
      </c>
      <c r="T50" s="22" t="s">
        <v>489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492</v>
      </c>
      <c r="T53" s="22" t="s">
        <v>482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491</v>
      </c>
      <c r="T54" s="22" t="s">
        <v>483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490</v>
      </c>
      <c r="T55" s="22" t="s">
        <v>493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281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337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331</v>
      </c>
      <c r="J103" s="39"/>
      <c r="K103" s="39"/>
    </row>
    <row r="104" spans="1:11" x14ac:dyDescent="0.25">
      <c r="A104" t="s">
        <v>337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367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377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385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405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337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337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433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48" priority="75">
      <formula>F32&gt;0</formula>
    </cfRule>
    <cfRule type="expression" dxfId="2347" priority="76">
      <formula>F32&lt;0</formula>
    </cfRule>
  </conditionalFormatting>
  <conditionalFormatting sqref="Q7">
    <cfRule type="expression" dxfId="2346" priority="73">
      <formula>Q7&gt;0</formula>
    </cfRule>
    <cfRule type="expression" dxfId="2345" priority="74">
      <formula>Q7&lt;0</formula>
    </cfRule>
  </conditionalFormatting>
  <conditionalFormatting sqref="Q8">
    <cfRule type="expression" dxfId="2344" priority="71">
      <formula>Q8&gt;0</formula>
    </cfRule>
    <cfRule type="expression" dxfId="234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42" priority="63">
      <formula>M58&gt;0</formula>
    </cfRule>
    <cfRule type="expression" dxfId="2341" priority="64">
      <formula>M58&lt;0</formula>
    </cfRule>
  </conditionalFormatting>
  <conditionalFormatting sqref="Q10">
    <cfRule type="expression" dxfId="2340" priority="61">
      <formula>Q10&gt;0</formula>
    </cfRule>
    <cfRule type="expression" dxfId="2339" priority="62">
      <formula>Q10&lt;0</formula>
    </cfRule>
  </conditionalFormatting>
  <conditionalFormatting sqref="F29:F31">
    <cfRule type="expression" dxfId="2338" priority="59">
      <formula>F29&gt;0</formula>
    </cfRule>
    <cfRule type="expression" dxfId="2337" priority="60">
      <formula>F29&lt;0</formula>
    </cfRule>
  </conditionalFormatting>
  <conditionalFormatting sqref="H29:H31">
    <cfRule type="expression" dxfId="2336" priority="57">
      <formula>H29&gt;0</formula>
    </cfRule>
    <cfRule type="expression" dxfId="2335" priority="58">
      <formula>H29&lt;0</formula>
    </cfRule>
  </conditionalFormatting>
  <conditionalFormatting sqref="F83:F94">
    <cfRule type="expression" dxfId="2334" priority="55">
      <formula>F83&gt;0</formula>
    </cfRule>
    <cfRule type="expression" dxfId="2333" priority="56">
      <formula>F83&lt;0</formula>
    </cfRule>
  </conditionalFormatting>
  <conditionalFormatting sqref="H83:H94">
    <cfRule type="expression" dxfId="2332" priority="53">
      <formula>H83&gt;0</formula>
    </cfRule>
    <cfRule type="expression" dxfId="2331" priority="54">
      <formula>H83&lt;0</formula>
    </cfRule>
  </conditionalFormatting>
  <conditionalFormatting sqref="J41">
    <cfRule type="expression" dxfId="2330" priority="51">
      <formula>J41&gt;0</formula>
    </cfRule>
    <cfRule type="expression" dxfId="2329" priority="52">
      <formula>J41&lt;0</formula>
    </cfRule>
  </conditionalFormatting>
  <conditionalFormatting sqref="J39:J47">
    <cfRule type="expression" dxfId="2328" priority="49">
      <formula>J39&gt;0</formula>
    </cfRule>
    <cfRule type="expression" dxfId="2327" priority="50">
      <formula>J39&lt;0</formula>
    </cfRule>
  </conditionalFormatting>
  <conditionalFormatting sqref="F48:F51 H48:H51">
    <cfRule type="expression" dxfId="2326" priority="47">
      <formula>F48&gt;0</formula>
    </cfRule>
    <cfRule type="expression" dxfId="2325" priority="48">
      <formula>F48&lt;0</formula>
    </cfRule>
  </conditionalFormatting>
  <conditionalFormatting sqref="J48:J57">
    <cfRule type="expression" dxfId="2324" priority="45">
      <formula>J48&gt;0</formula>
    </cfRule>
    <cfRule type="expression" dxfId="2323" priority="46">
      <formula>J48&lt;0</formula>
    </cfRule>
  </conditionalFormatting>
  <conditionalFormatting sqref="K45:K52">
    <cfRule type="expression" dxfId="2322" priority="43">
      <formula>K45&gt;0</formula>
    </cfRule>
    <cfRule type="expression" dxfId="2321" priority="44">
      <formula>K45&lt;0</formula>
    </cfRule>
  </conditionalFormatting>
  <conditionalFormatting sqref="K45:K52">
    <cfRule type="expression" dxfId="2320" priority="41">
      <formula>K45&gt;0</formula>
    </cfRule>
    <cfRule type="expression" dxfId="2319" priority="42">
      <formula>K45&lt;0</formula>
    </cfRule>
  </conditionalFormatting>
  <conditionalFormatting sqref="F102:F118 H102:H118 H120:H128 F120:F128">
    <cfRule type="expression" dxfId="2318" priority="37">
      <formula>F102&gt;0</formula>
    </cfRule>
    <cfRule type="expression" dxfId="2317" priority="38">
      <formula>F102&lt;0</formula>
    </cfRule>
  </conditionalFormatting>
  <conditionalFormatting sqref="F96:F101">
    <cfRule type="expression" dxfId="2316" priority="35">
      <formula>F96&gt;0</formula>
    </cfRule>
    <cfRule type="expression" dxfId="2315" priority="36">
      <formula>F96&lt;0</formula>
    </cfRule>
  </conditionalFormatting>
  <conditionalFormatting sqref="H96:H101">
    <cfRule type="expression" dxfId="2314" priority="33">
      <formula>H96&gt;0</formula>
    </cfRule>
    <cfRule type="expression" dxfId="2313" priority="34">
      <formula>H96&lt;0</formula>
    </cfRule>
  </conditionalFormatting>
  <conditionalFormatting sqref="J112">
    <cfRule type="expression" dxfId="2312" priority="31">
      <formula>J112&gt;0</formula>
    </cfRule>
    <cfRule type="expression" dxfId="2311" priority="32">
      <formula>J112&lt;0</formula>
    </cfRule>
  </conditionalFormatting>
  <conditionalFormatting sqref="J110:J118 J120">
    <cfRule type="expression" dxfId="2310" priority="29">
      <formula>J110&gt;0</formula>
    </cfRule>
    <cfRule type="expression" dxfId="2309" priority="30">
      <formula>J110&lt;0</formula>
    </cfRule>
  </conditionalFormatting>
  <conditionalFormatting sqref="F119 H119">
    <cfRule type="expression" dxfId="2308" priority="27">
      <formula>F119&gt;0</formula>
    </cfRule>
    <cfRule type="expression" dxfId="2307" priority="28">
      <formula>F119&lt;0</formula>
    </cfRule>
  </conditionalFormatting>
  <conditionalFormatting sqref="J119">
    <cfRule type="expression" dxfId="2306" priority="25">
      <formula>J119&gt;0</formula>
    </cfRule>
    <cfRule type="expression" dxfId="2305" priority="26">
      <formula>J119&lt;0</formula>
    </cfRule>
  </conditionalFormatting>
  <conditionalFormatting sqref="K112:K123">
    <cfRule type="expression" dxfId="2304" priority="23">
      <formula>K112&gt;0</formula>
    </cfRule>
    <cfRule type="expression" dxfId="2303" priority="24">
      <formula>K112&lt;0</formula>
    </cfRule>
  </conditionalFormatting>
  <conditionalFormatting sqref="K110:K123">
    <cfRule type="expression" dxfId="2302" priority="21">
      <formula>K110&gt;0</formula>
    </cfRule>
    <cfRule type="expression" dxfId="2301" priority="22">
      <formula>K110&lt;0</formula>
    </cfRule>
  </conditionalFormatting>
  <conditionalFormatting sqref="J121">
    <cfRule type="expression" dxfId="2300" priority="19">
      <formula>J121&gt;0</formula>
    </cfRule>
    <cfRule type="expression" dxfId="2299" priority="20">
      <formula>J121&lt;0</formula>
    </cfRule>
  </conditionalFormatting>
  <conditionalFormatting sqref="F25:F28">
    <cfRule type="expression" dxfId="2298" priority="17">
      <formula>F25&gt;0</formula>
    </cfRule>
    <cfRule type="expression" dxfId="2297" priority="18">
      <formula>F25&lt;0</formula>
    </cfRule>
  </conditionalFormatting>
  <conditionalFormatting sqref="H25:H28">
    <cfRule type="expression" dxfId="2296" priority="15">
      <formula>H25&gt;0</formula>
    </cfRule>
    <cfRule type="expression" dxfId="2295" priority="16">
      <formula>H25&lt;0</formula>
    </cfRule>
  </conditionalFormatting>
  <conditionalFormatting sqref="J27:J29">
    <cfRule type="expression" dxfId="2294" priority="13">
      <formula>J27&gt;0</formula>
    </cfRule>
    <cfRule type="expression" dxfId="2293" priority="14">
      <formula>J27&lt;0</formula>
    </cfRule>
  </conditionalFormatting>
  <conditionalFormatting sqref="J30:J31">
    <cfRule type="expression" dxfId="2292" priority="11">
      <formula>J30&gt;0</formula>
    </cfRule>
    <cfRule type="expression" dxfId="2291" priority="12">
      <formula>J30&lt;0</formula>
    </cfRule>
  </conditionalFormatting>
  <conditionalFormatting sqref="J33">
    <cfRule type="expression" dxfId="2290" priority="9">
      <formula>J33&gt;0</formula>
    </cfRule>
    <cfRule type="expression" dxfId="2289" priority="10">
      <formula>J33&lt;0</formula>
    </cfRule>
  </conditionalFormatting>
  <conditionalFormatting sqref="J34">
    <cfRule type="expression" dxfId="2288" priority="7">
      <formula>J34&gt;0</formula>
    </cfRule>
    <cfRule type="expression" dxfId="2287" priority="8">
      <formula>J34&lt;0</formula>
    </cfRule>
  </conditionalFormatting>
  <conditionalFormatting sqref="J35:J43">
    <cfRule type="expression" dxfId="2286" priority="5">
      <formula>J35&gt;0</formula>
    </cfRule>
    <cfRule type="expression" dxfId="228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84" priority="1">
      <formula>Q9&gt;0</formula>
    </cfRule>
    <cfRule type="expression" dxfId="228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51.86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51.86</v>
      </c>
      <c r="R4" s="475">
        <v>6.6E-3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9" t="s">
        <v>78</v>
      </c>
      <c r="P40" s="84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57.046000000000006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56.5274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56.008800000000001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55.490200000000002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54.971600000000002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54.453000000000003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53.934400000000004</v>
      </c>
      <c r="Q47" s="2"/>
    </row>
    <row r="48" spans="2:17" x14ac:dyDescent="0.25">
      <c r="O48" s="81">
        <v>1.03</v>
      </c>
      <c r="P48" s="81">
        <f t="shared" si="4"/>
        <v>53.415799999999997</v>
      </c>
      <c r="Q48" s="2"/>
    </row>
    <row r="49" spans="1:17" x14ac:dyDescent="0.25">
      <c r="O49" s="81">
        <v>1.02</v>
      </c>
      <c r="P49" s="81">
        <f t="shared" si="4"/>
        <v>52.897199999999998</v>
      </c>
      <c r="Q49" s="2"/>
    </row>
    <row r="50" spans="1:17" x14ac:dyDescent="0.25">
      <c r="O50" s="81">
        <v>1.01</v>
      </c>
      <c r="P50" s="81">
        <f t="shared" si="4"/>
        <v>52.378599999999999</v>
      </c>
      <c r="Q50" s="2"/>
    </row>
    <row r="51" spans="1:17" x14ac:dyDescent="0.25">
      <c r="O51" s="81">
        <v>1</v>
      </c>
      <c r="P51" s="81">
        <f t="shared" si="4"/>
        <v>51.86</v>
      </c>
      <c r="Q51" s="2"/>
    </row>
    <row r="52" spans="1:17" x14ac:dyDescent="0.25">
      <c r="O52" s="81">
        <v>0.99</v>
      </c>
      <c r="P52" s="81">
        <f t="shared" si="4"/>
        <v>51.3414</v>
      </c>
      <c r="Q52" s="2"/>
    </row>
    <row r="53" spans="1:17" x14ac:dyDescent="0.25">
      <c r="O53" s="81">
        <v>0.98</v>
      </c>
      <c r="P53" s="81">
        <f t="shared" si="4"/>
        <v>50.822800000000001</v>
      </c>
      <c r="Q53" s="2"/>
    </row>
    <row r="54" spans="1:17" x14ac:dyDescent="0.25">
      <c r="O54" s="81">
        <v>0.97</v>
      </c>
      <c r="P54" s="81">
        <f t="shared" si="4"/>
        <v>50.304200000000002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49.785599999999995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49.266999999999996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48.748399999999997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48.229800000000004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47.711199999999998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47.192599999999999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46.673999999999999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82" priority="15">
      <formula>F39&gt;0</formula>
    </cfRule>
    <cfRule type="expression" dxfId="2281" priority="16">
      <formula>F39&lt;0</formula>
    </cfRule>
  </conditionalFormatting>
  <conditionalFormatting sqref="Q7">
    <cfRule type="expression" dxfId="2280" priority="13">
      <formula>Q7&gt;0</formula>
    </cfRule>
    <cfRule type="expression" dxfId="2279" priority="14">
      <formula>Q7&lt;0</formula>
    </cfRule>
  </conditionalFormatting>
  <conditionalFormatting sqref="Q8">
    <cfRule type="expression" dxfId="2278" priority="11">
      <formula>Q8&gt;0</formula>
    </cfRule>
    <cfRule type="expression" dxfId="2277" priority="12">
      <formula>Q8&lt;0</formula>
    </cfRule>
  </conditionalFormatting>
  <conditionalFormatting sqref="F25:F38">
    <cfRule type="expression" dxfId="2276" priority="9">
      <formula>F25&gt;0</formula>
    </cfRule>
    <cfRule type="expression" dxfId="2275" priority="10">
      <formula>F25&lt;0</formula>
    </cfRule>
  </conditionalFormatting>
  <conditionalFormatting sqref="H25:H38">
    <cfRule type="expression" dxfId="2274" priority="7">
      <formula>H25&gt;0</formula>
    </cfRule>
    <cfRule type="expression" dxfId="2273" priority="8">
      <formula>H25&lt;0</formula>
    </cfRule>
  </conditionalFormatting>
  <conditionalFormatting sqref="M55">
    <cfRule type="expression" dxfId="2272" priority="3">
      <formula>M55&gt;0</formula>
    </cfRule>
    <cfRule type="expression" dxfId="2271" priority="4">
      <formula>M55&lt;0</formula>
    </cfRule>
  </conditionalFormatting>
  <conditionalFormatting sqref="Q10">
    <cfRule type="expression" dxfId="2270" priority="1">
      <formula>Q10&gt;0</formula>
    </cfRule>
    <cfRule type="expression" dxfId="226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40.700000000000003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40.700000000000003</v>
      </c>
      <c r="R4" s="475">
        <v>2.5000000000000001E-3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208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207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345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44.77000000000001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44.363000000000007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313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43.956000000000003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43.549000000000007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43.142000000000003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42.735000000000007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42.328000000000003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41.921000000000006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41.514000000000003</v>
      </c>
      <c r="Q49" s="2"/>
      <c r="T49" s="91" t="s">
        <v>103</v>
      </c>
      <c r="U49" s="127" t="s">
        <v>576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41.107000000000006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40.700000000000003</v>
      </c>
      <c r="Q51" s="2"/>
      <c r="T51" s="91" t="s">
        <v>104</v>
      </c>
      <c r="U51" s="127" t="s">
        <v>577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40.292999999999999</v>
      </c>
      <c r="Q52" s="2"/>
      <c r="T52" s="91" t="s">
        <v>105</v>
      </c>
      <c r="U52" s="127" t="s">
        <v>314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39.886000000000003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39.478999999999999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39.072000000000003</v>
      </c>
      <c r="T55" s="91" t="s">
        <v>107</v>
      </c>
      <c r="U55" s="127" t="s">
        <v>578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38.664999999999999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38.258000000000003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37.851000000000006</v>
      </c>
      <c r="T58" s="91" t="s">
        <v>108</v>
      </c>
      <c r="U58" s="127" t="s">
        <v>505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37.444000000000003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37.037000000000006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36.630000000000003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68" priority="27">
      <formula>F27&gt;0</formula>
    </cfRule>
    <cfRule type="expression" dxfId="226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66" priority="15">
      <formula>Q8&gt;0</formula>
    </cfRule>
    <cfRule type="expression" dxfId="2265" priority="16">
      <formula>Q8&lt;0</formula>
    </cfRule>
  </conditionalFormatting>
  <conditionalFormatting sqref="Q7">
    <cfRule type="expression" dxfId="2264" priority="17">
      <formula>Q7&gt;0</formula>
    </cfRule>
    <cfRule type="expression" dxfId="2263" priority="18">
      <formula>Q7&lt;0</formula>
    </cfRule>
  </conditionalFormatting>
  <conditionalFormatting sqref="F37:F38">
    <cfRule type="expression" dxfId="2262" priority="13">
      <formula>F37&gt;0</formula>
    </cfRule>
    <cfRule type="expression" dxfId="2261" priority="14">
      <formula>F37&lt;0</formula>
    </cfRule>
  </conditionalFormatting>
  <conditionalFormatting sqref="H37:H38">
    <cfRule type="expression" dxfId="2260" priority="11">
      <formula>H37&gt;0</formula>
    </cfRule>
    <cfRule type="expression" dxfId="2259" priority="12">
      <formula>H37&lt;0</formula>
    </cfRule>
  </conditionalFormatting>
  <conditionalFormatting sqref="F23:F26 H23:H26">
    <cfRule type="expression" dxfId="2258" priority="9">
      <formula>F23&gt;0</formula>
    </cfRule>
    <cfRule type="expression" dxfId="2257" priority="10">
      <formula>F23&lt;0</formula>
    </cfRule>
  </conditionalFormatting>
  <conditionalFormatting sqref="Q10">
    <cfRule type="expression" dxfId="2256" priority="3">
      <formula>Q10&gt;0</formula>
    </cfRule>
    <cfRule type="expression" dxfId="2255" priority="4">
      <formula>Q10&lt;0</formula>
    </cfRule>
  </conditionalFormatting>
  <conditionalFormatting sqref="F22 H22">
    <cfRule type="expression" dxfId="2254" priority="1">
      <formula>F22&gt;0</formula>
    </cfRule>
    <cfRule type="expression" dxfId="2253" priority="2">
      <formula>F22&lt;0</formula>
    </cfRule>
  </conditionalFormatting>
  <conditionalFormatting sqref="M41">
    <cfRule type="expression" dxfId="2252" priority="5">
      <formula>M41&gt;0</formula>
    </cfRule>
    <cfRule type="expression" dxfId="225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55.95</v>
      </c>
      <c r="T3" s="1"/>
      <c r="W3" s="130">
        <v>42830</v>
      </c>
      <c r="X3" s="10" t="s">
        <v>327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55.95</v>
      </c>
      <c r="R4" s="475">
        <v>1.2699999999999999E-2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61.545000000000009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60.985500000000009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60.426000000000009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59.866500000000009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59.307000000000009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58.747500000000002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58.188000000000002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298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57.628500000000003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57.069000000000003</v>
      </c>
      <c r="Q49" s="2"/>
      <c r="T49" s="91" t="s">
        <v>103</v>
      </c>
      <c r="U49" s="127" t="s">
        <v>477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56.509500000000003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55.95</v>
      </c>
      <c r="Q51" s="2"/>
      <c r="T51" s="91" t="s">
        <v>104</v>
      </c>
      <c r="U51" s="127" t="s">
        <v>579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55.390500000000003</v>
      </c>
      <c r="Q52" s="2"/>
      <c r="T52" s="91" t="s">
        <v>105</v>
      </c>
      <c r="U52" s="127" t="s">
        <v>364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54.831000000000003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54.271500000000003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53.712000000000003</v>
      </c>
      <c r="T55" s="91" t="s">
        <v>107</v>
      </c>
      <c r="U55" s="127" t="s">
        <v>580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53.152500000000003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52.592999999999996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52.033500000000004</v>
      </c>
      <c r="T58" s="91" t="s">
        <v>108</v>
      </c>
      <c r="U58" s="127" t="s">
        <v>537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51.474000000000004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50.914500000000004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50.355000000000004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334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344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361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361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384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419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435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452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50" priority="29">
      <formula>F25&gt;0</formula>
    </cfRule>
    <cfRule type="expression" dxfId="2249" priority="30">
      <formula>F25&lt;0</formula>
    </cfRule>
  </conditionalFormatting>
  <conditionalFormatting sqref="Q7">
    <cfRule type="expression" dxfId="2248" priority="27">
      <formula>Q7&gt;0</formula>
    </cfRule>
    <cfRule type="expression" dxfId="2247" priority="28">
      <formula>Q7&lt;0</formula>
    </cfRule>
  </conditionalFormatting>
  <conditionalFormatting sqref="Q8">
    <cfRule type="expression" dxfId="2246" priority="25">
      <formula>Q8&gt;0</formula>
    </cfRule>
    <cfRule type="expression" dxfId="2245" priority="26">
      <formula>Q8&lt;0</formula>
    </cfRule>
  </conditionalFormatting>
  <conditionalFormatting sqref="Q10">
    <cfRule type="expression" dxfId="2244" priority="13">
      <formula>Q10&gt;0</formula>
    </cfRule>
    <cfRule type="expression" dxfId="2243" priority="14">
      <formula>Q10&lt;0</formula>
    </cfRule>
  </conditionalFormatting>
  <conditionalFormatting sqref="M46">
    <cfRule type="expression" dxfId="2242" priority="11">
      <formula>M46&gt;0</formula>
    </cfRule>
    <cfRule type="expression" dxfId="2241" priority="12">
      <formula>M46&lt;0</formula>
    </cfRule>
  </conditionalFormatting>
  <conditionalFormatting sqref="F80:F88 H80:H88">
    <cfRule type="expression" dxfId="2240" priority="9">
      <formula>F80&gt;0</formula>
    </cfRule>
    <cfRule type="expression" dxfId="2239" priority="10">
      <formula>F80&lt;0</formula>
    </cfRule>
  </conditionalFormatting>
  <conditionalFormatting sqref="F75:F79">
    <cfRule type="expression" dxfId="2238" priority="7">
      <formula>F75&gt;0</formula>
    </cfRule>
    <cfRule type="expression" dxfId="2237" priority="8">
      <formula>F75&lt;0</formula>
    </cfRule>
  </conditionalFormatting>
  <conditionalFormatting sqref="H75:H79">
    <cfRule type="expression" dxfId="2236" priority="5">
      <formula>H75&gt;0</formula>
    </cfRule>
    <cfRule type="expression" dxfId="2235" priority="6">
      <formula>H75&lt;0</formula>
    </cfRule>
  </conditionalFormatting>
  <conditionalFormatting sqref="F71:F74">
    <cfRule type="expression" dxfId="2234" priority="3">
      <formula>F71&gt;0</formula>
    </cfRule>
    <cfRule type="expression" dxfId="2233" priority="4">
      <formula>F71&lt;0</formula>
    </cfRule>
  </conditionalFormatting>
  <conditionalFormatting sqref="H71:H74">
    <cfRule type="expression" dxfId="2232" priority="1">
      <formula>H71&gt;0</formula>
    </cfRule>
    <cfRule type="expression" dxfId="223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31.6</v>
      </c>
      <c r="R4" s="495">
        <v>-1.9900000000000001E-2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34.760000000000005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34.444000000000003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34.128000000000007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33.812000000000005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33.496000000000002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33.18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32.864000000000004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32.548000000000002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32.231999999999999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31.916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31.284000000000002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30.968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30.652000000000001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30.335999999999999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29.704000000000001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29.388000000000002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29.072000000000003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28.756000000000004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28.44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30" priority="21">
      <formula>F47&gt;0</formula>
    </cfRule>
    <cfRule type="expression" dxfId="2229" priority="22">
      <formula>F47&lt;0</formula>
    </cfRule>
  </conditionalFormatting>
  <conditionalFormatting sqref="Q7">
    <cfRule type="expression" dxfId="2228" priority="19">
      <formula>Q7&gt;0</formula>
    </cfRule>
    <cfRule type="expression" dxfId="2227" priority="20">
      <formula>Q7&lt;0</formula>
    </cfRule>
  </conditionalFormatting>
  <conditionalFormatting sqref="Q8">
    <cfRule type="expression" dxfId="2226" priority="17">
      <formula>Q8&gt;0</formula>
    </cfRule>
    <cfRule type="expression" dxfId="2225" priority="18">
      <formula>Q8&lt;0</formula>
    </cfRule>
  </conditionalFormatting>
  <conditionalFormatting sqref="F25:F46">
    <cfRule type="expression" dxfId="2224" priority="15">
      <formula>F25&gt;0</formula>
    </cfRule>
    <cfRule type="expression" dxfId="2223" priority="16">
      <formula>F25&lt;0</formula>
    </cfRule>
  </conditionalFormatting>
  <conditionalFormatting sqref="H25:H46">
    <cfRule type="expression" dxfId="2222" priority="13">
      <formula>H25&gt;0</formula>
    </cfRule>
    <cfRule type="expression" dxfId="2221" priority="14">
      <formula>H25&lt;0</formula>
    </cfRule>
  </conditionalFormatting>
  <conditionalFormatting sqref="F89:F110">
    <cfRule type="expression" dxfId="2220" priority="11">
      <formula>F89&gt;0</formula>
    </cfRule>
    <cfRule type="expression" dxfId="2219" priority="12">
      <formula>F89&lt;0</formula>
    </cfRule>
  </conditionalFormatting>
  <conditionalFormatting sqref="H89:H110">
    <cfRule type="expression" dxfId="2218" priority="9">
      <formula>H89&gt;0</formula>
    </cfRule>
    <cfRule type="expression" dxfId="2217" priority="10">
      <formula>H89&lt;0</formula>
    </cfRule>
  </conditionalFormatting>
  <conditionalFormatting sqref="Q10">
    <cfRule type="expression" dxfId="2216" priority="7">
      <formula>Q10&gt;0</formula>
    </cfRule>
    <cfRule type="expression" dxfId="2215" priority="8">
      <formula>Q10&lt;0</formula>
    </cfRule>
  </conditionalFormatting>
  <conditionalFormatting sqref="J25:J38">
    <cfRule type="expression" dxfId="2214" priority="5">
      <formula>J25&gt;0</formula>
    </cfRule>
    <cfRule type="expression" dxfId="2213" priority="6">
      <formula>J25&lt;0</formula>
    </cfRule>
  </conditionalFormatting>
  <conditionalFormatting sqref="K25:K38">
    <cfRule type="expression" dxfId="2212" priority="3">
      <formula>K25&gt;0</formula>
    </cfRule>
    <cfRule type="expression" dxfId="2211" priority="4">
      <formula>K25&lt;0</formula>
    </cfRule>
  </conditionalFormatting>
  <conditionalFormatting sqref="L25:L38">
    <cfRule type="expression" dxfId="2210" priority="1">
      <formula>L25&gt;0</formula>
    </cfRule>
    <cfRule type="expression" dxfId="22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74.34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74.34</v>
      </c>
      <c r="R4" s="475">
        <v>1.5E-3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81.774000000000015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81.030600000000007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80.287200000000013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79.543800000000005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78.80040000000001</v>
      </c>
      <c r="Q45" s="2"/>
      <c r="T45" s="91" t="s">
        <v>99</v>
      </c>
      <c r="U45" s="127" t="s">
        <v>581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78.057000000000002</v>
      </c>
      <c r="Q46" s="2"/>
      <c r="T46" s="91" t="s">
        <v>100</v>
      </c>
      <c r="U46" s="127" t="s">
        <v>582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77.313600000000008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247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76.5702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75.826800000000006</v>
      </c>
      <c r="Q49" s="2"/>
      <c r="T49" s="91" t="s">
        <v>121</v>
      </c>
      <c r="U49" s="127" t="s">
        <v>386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75.083399999999997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74.34</v>
      </c>
      <c r="Q51" s="2"/>
      <c r="T51" s="91" t="s">
        <v>104</v>
      </c>
      <c r="U51" s="127" t="s">
        <v>583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73.596600000000009</v>
      </c>
      <c r="Q52" s="2"/>
      <c r="T52" s="91" t="s">
        <v>105</v>
      </c>
      <c r="U52" s="127" t="s">
        <v>416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72.853200000000001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72.109800000000007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71.366399999999999</v>
      </c>
      <c r="T55" s="91" t="s">
        <v>107</v>
      </c>
      <c r="U55" s="127" t="s">
        <v>584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70.623000000000005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69.879599999999996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69.136200000000002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68.392800000000008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67.6494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66.906000000000006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248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251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08" priority="23">
      <formula>F34&gt;0</formula>
    </cfRule>
    <cfRule type="expression" dxfId="2207" priority="24">
      <formula>F34&lt;0</formula>
    </cfRule>
  </conditionalFormatting>
  <conditionalFormatting sqref="Q7">
    <cfRule type="expression" dxfId="2206" priority="21">
      <formula>Q7&gt;0</formula>
    </cfRule>
    <cfRule type="expression" dxfId="2205" priority="22">
      <formula>Q7&lt;0</formula>
    </cfRule>
  </conditionalFormatting>
  <conditionalFormatting sqref="Q8">
    <cfRule type="expression" dxfId="2204" priority="19">
      <formula>Q8&gt;0</formula>
    </cfRule>
    <cfRule type="expression" dxfId="2203" priority="20">
      <formula>Q8&lt;0</formula>
    </cfRule>
  </conditionalFormatting>
  <conditionalFormatting sqref="F25:F33">
    <cfRule type="expression" dxfId="2202" priority="17">
      <formula>F25&gt;0</formula>
    </cfRule>
    <cfRule type="expression" dxfId="2201" priority="18">
      <formula>F25&lt;0</formula>
    </cfRule>
  </conditionalFormatting>
  <conditionalFormatting sqref="H25:H33">
    <cfRule type="expression" dxfId="2200" priority="15">
      <formula>H25&gt;0</formula>
    </cfRule>
    <cfRule type="expression" dxfId="2199" priority="16">
      <formula>H25&lt;0</formula>
    </cfRule>
  </conditionalFormatting>
  <conditionalFormatting sqref="M46">
    <cfRule type="expression" dxfId="2198" priority="13">
      <formula>M46&gt;0</formula>
    </cfRule>
    <cfRule type="expression" dxfId="2197" priority="14">
      <formula>M46&lt;0</formula>
    </cfRule>
  </conditionalFormatting>
  <conditionalFormatting sqref="F79:F87 H79:H87">
    <cfRule type="expression" dxfId="2196" priority="11">
      <formula>F79&gt;0</formula>
    </cfRule>
    <cfRule type="expression" dxfId="2195" priority="12">
      <formula>F79&lt;0</formula>
    </cfRule>
  </conditionalFormatting>
  <conditionalFormatting sqref="F70:F78">
    <cfRule type="expression" dxfId="2194" priority="9">
      <formula>F70&gt;0</formula>
    </cfRule>
    <cfRule type="expression" dxfId="2193" priority="10">
      <formula>F70&lt;0</formula>
    </cfRule>
  </conditionalFormatting>
  <conditionalFormatting sqref="H70:H78">
    <cfRule type="expression" dxfId="2192" priority="7">
      <formula>H70&gt;0</formula>
    </cfRule>
    <cfRule type="expression" dxfId="2191" priority="8">
      <formula>H70&lt;0</formula>
    </cfRule>
  </conditionalFormatting>
  <conditionalFormatting sqref="J27:K27 J30:K30 J33:K33 J36:K36 J39:K39 J42:K42">
    <cfRule type="expression" dxfId="2190" priority="5">
      <formula>J27&gt;0</formula>
    </cfRule>
    <cfRule type="expression" dxfId="2189" priority="6">
      <formula>J27&lt;0</formula>
    </cfRule>
  </conditionalFormatting>
  <conditionalFormatting sqref="J28:K29 J31:K32 J34:K35 J37:K38 J40:K41">
    <cfRule type="expression" dxfId="2188" priority="3">
      <formula>J28&gt;0</formula>
    </cfRule>
    <cfRule type="expression" dxfId="2187" priority="4">
      <formula>J28&lt;0</formula>
    </cfRule>
  </conditionalFormatting>
  <conditionalFormatting sqref="L27:L42">
    <cfRule type="expression" dxfId="2186" priority="1">
      <formula>L27&gt;0</formula>
    </cfRule>
    <cfRule type="expression" dxfId="218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17.07</v>
      </c>
      <c r="R4" s="475">
        <v>9.4999999999999998E-3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18.777000000000001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18.606300000000001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18.435600000000001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18.264900000000001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18.094200000000001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17.923500000000001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17.752800000000001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17.582100000000001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17.4114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17.2407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16.8993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16.7286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16.5579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16.3872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16.2165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16.0458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15.875100000000002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15.704400000000001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15.533700000000001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15.363000000000001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84" priority="9">
      <formula>F57&gt;0</formula>
    </cfRule>
    <cfRule type="expression" dxfId="2183" priority="10">
      <formula>F57&lt;0</formula>
    </cfRule>
  </conditionalFormatting>
  <conditionalFormatting sqref="Q7">
    <cfRule type="expression" dxfId="2182" priority="7">
      <formula>Q7&gt;0</formula>
    </cfRule>
    <cfRule type="expression" dxfId="2181" priority="8">
      <formula>Q7&lt;0</formula>
    </cfRule>
  </conditionalFormatting>
  <conditionalFormatting sqref="Q8">
    <cfRule type="expression" dxfId="2180" priority="5">
      <formula>Q8&gt;0</formula>
    </cfRule>
    <cfRule type="expression" dxfId="2179" priority="6">
      <formula>Q8&lt;0</formula>
    </cfRule>
  </conditionalFormatting>
  <conditionalFormatting sqref="F25:F56">
    <cfRule type="expression" dxfId="2178" priority="3">
      <formula>F25&gt;0</formula>
    </cfRule>
    <cfRule type="expression" dxfId="2177" priority="4">
      <formula>F25&lt;0</formula>
    </cfRule>
  </conditionalFormatting>
  <conditionalFormatting sqref="H25:H56">
    <cfRule type="expression" dxfId="2176" priority="1">
      <formula>H25&gt;0</formula>
    </cfRule>
    <cfRule type="expression" dxfId="217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1149</v>
      </c>
      <c r="B2" s="474">
        <v>43278</v>
      </c>
      <c r="C2" s="4">
        <v>100</v>
      </c>
      <c r="D2" s="3">
        <v>51.18</v>
      </c>
      <c r="E2" s="3">
        <v>0</v>
      </c>
      <c r="F2" s="3">
        <f t="shared" ref="F2" si="0"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52.48</v>
      </c>
      <c r="R4" s="495">
        <v>-2.3E-3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5248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130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2.5400547088706527E-2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3.3536585365853661E-2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6.0881670533642689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497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" si="1">C25*(E25-D25)</f>
        <v>7.0000000000000284</v>
      </c>
      <c r="G25" s="39">
        <f t="shared" ref="G25" si="2">D25*C25</f>
        <v>5118</v>
      </c>
      <c r="H25" s="222">
        <f t="shared" ref="H25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57.728000000000002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57.203200000000002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56.678400000000003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56.153599999999997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55.628799999999998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55.103999999999999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54.5792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54.054400000000001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53.529599999999995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53.004799999999996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52.48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51.955199999999998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51.430399999999999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50.905599999999993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50.380799999999994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49.855999999999995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49.331199999999995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48.806399999999996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48.281599999999997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47.756799999999998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47.231999999999999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4" priority="35">
      <formula>F47&gt;0</formula>
    </cfRule>
    <cfRule type="expression" dxfId="2173" priority="36">
      <formula>F47&lt;0</formula>
    </cfRule>
  </conditionalFormatting>
  <conditionalFormatting sqref="Q7">
    <cfRule type="expression" dxfId="2172" priority="33">
      <formula>Q7&gt;0</formula>
    </cfRule>
    <cfRule type="expression" dxfId="2171" priority="34">
      <formula>Q7&lt;0</formula>
    </cfRule>
  </conditionalFormatting>
  <conditionalFormatting sqref="Q8">
    <cfRule type="expression" dxfId="2170" priority="31">
      <formula>Q8&gt;0</formula>
    </cfRule>
    <cfRule type="expression" dxfId="2169" priority="32">
      <formula>Q8&lt;0</formula>
    </cfRule>
  </conditionalFormatting>
  <conditionalFormatting sqref="F30:F46">
    <cfRule type="expression" dxfId="2168" priority="29">
      <formula>F30&gt;0</formula>
    </cfRule>
    <cfRule type="expression" dxfId="2167" priority="30">
      <formula>F30&lt;0</formula>
    </cfRule>
  </conditionalFormatting>
  <conditionalFormatting sqref="H30:H46">
    <cfRule type="expression" dxfId="2166" priority="27">
      <formula>H30&gt;0</formula>
    </cfRule>
    <cfRule type="expression" dxfId="2165" priority="28">
      <formula>H30&lt;0</formula>
    </cfRule>
  </conditionalFormatting>
  <conditionalFormatting sqref="Q10">
    <cfRule type="expression" dxfId="2164" priority="25">
      <formula>Q10&gt;0</formula>
    </cfRule>
    <cfRule type="expression" dxfId="2163" priority="26">
      <formula>Q10&lt;0</formula>
    </cfRule>
  </conditionalFormatting>
  <conditionalFormatting sqref="J27:J38">
    <cfRule type="expression" dxfId="2162" priority="23">
      <formula>J27&gt;0</formula>
    </cfRule>
    <cfRule type="expression" dxfId="2161" priority="24">
      <formula>J27&lt;0</formula>
    </cfRule>
  </conditionalFormatting>
  <conditionalFormatting sqref="K27:K38">
    <cfRule type="expression" dxfId="2160" priority="21">
      <formula>K27&gt;0</formula>
    </cfRule>
    <cfRule type="expression" dxfId="2159" priority="22">
      <formula>K27&lt;0</formula>
    </cfRule>
  </conditionalFormatting>
  <conditionalFormatting sqref="L27:L38">
    <cfRule type="expression" dxfId="2158" priority="19">
      <formula>L27&gt;0</formula>
    </cfRule>
    <cfRule type="expression" dxfId="2157" priority="20">
      <formula>L27&lt;0</formula>
    </cfRule>
  </conditionalFormatting>
  <conditionalFormatting sqref="F89:F110">
    <cfRule type="expression" dxfId="2156" priority="17">
      <formula>F89&gt;0</formula>
    </cfRule>
    <cfRule type="expression" dxfId="2155" priority="18">
      <formula>F89&lt;0</formula>
    </cfRule>
  </conditionalFormatting>
  <conditionalFormatting sqref="H89:H110">
    <cfRule type="expression" dxfId="2154" priority="15">
      <formula>H89&gt;0</formula>
    </cfRule>
    <cfRule type="expression" dxfId="2153" priority="16">
      <formula>H89&lt;0</formula>
    </cfRule>
  </conditionalFormatting>
  <conditionalFormatting sqref="J89:J102">
    <cfRule type="expression" dxfId="2152" priority="13">
      <formula>J89&gt;0</formula>
    </cfRule>
    <cfRule type="expression" dxfId="2151" priority="14">
      <formula>J89&lt;0</formula>
    </cfRule>
  </conditionalFormatting>
  <conditionalFormatting sqref="K89:K102">
    <cfRule type="expression" dxfId="2150" priority="11">
      <formula>K89&gt;0</formula>
    </cfRule>
    <cfRule type="expression" dxfId="2149" priority="12">
      <formula>K89&lt;0</formula>
    </cfRule>
  </conditionalFormatting>
  <conditionalFormatting sqref="L89:L102">
    <cfRule type="expression" dxfId="2148" priority="9">
      <formula>L89&gt;0</formula>
    </cfRule>
    <cfRule type="expression" dxfId="2147" priority="10">
      <formula>L89&lt;0</formula>
    </cfRule>
  </conditionalFormatting>
  <conditionalFormatting sqref="F27:F29">
    <cfRule type="expression" dxfId="2146" priority="7">
      <formula>F27&gt;0</formula>
    </cfRule>
    <cfRule type="expression" dxfId="2145" priority="8">
      <formula>F27&lt;0</formula>
    </cfRule>
  </conditionalFormatting>
  <conditionalFormatting sqref="H27:H29">
    <cfRule type="expression" dxfId="2144" priority="5">
      <formula>H27&gt;0</formula>
    </cfRule>
    <cfRule type="expression" dxfId="2143" priority="6">
      <formula>H27&lt;0</formula>
    </cfRule>
  </conditionalFormatting>
  <conditionalFormatting sqref="F25:F26 H25:H26">
    <cfRule type="expression" dxfId="2142" priority="1">
      <formula>F25&gt;0</formula>
    </cfRule>
    <cfRule type="expression" dxfId="214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65.09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65.09</v>
      </c>
      <c r="R4" s="475">
        <v>9.1000000000000004E-3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71.599000000000004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70.948100000000011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70.297200000000004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69.646300000000011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68.995400000000004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68.344500000000011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67.693600000000004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67.042700000000011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66.391800000000003</v>
      </c>
      <c r="Q49" s="2"/>
      <c r="T49" s="91" t="s">
        <v>103</v>
      </c>
      <c r="U49" s="127" t="s">
        <v>470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65.740900000000011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65.09</v>
      </c>
      <c r="Q51" s="2"/>
      <c r="T51" s="91" t="s">
        <v>104</v>
      </c>
      <c r="U51" s="127" t="s">
        <v>585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64.439099999999996</v>
      </c>
      <c r="Q52" s="2"/>
      <c r="T52" s="91" t="s">
        <v>105</v>
      </c>
      <c r="U52" s="127" t="s">
        <v>305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63.788200000000003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63.137300000000003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62.486400000000003</v>
      </c>
      <c r="T55" s="91" t="s">
        <v>107</v>
      </c>
      <c r="U55" s="127" t="s">
        <v>586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61.835500000000003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61.184600000000003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60.533700000000003</v>
      </c>
      <c r="T58" s="91" t="s">
        <v>108</v>
      </c>
      <c r="U58" s="127" t="s">
        <v>521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59.882800000000003</v>
      </c>
    </row>
    <row r="60" spans="1:21" x14ac:dyDescent="0.25">
      <c r="A60" s="371" t="s">
        <v>274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59.231900000000003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58.581000000000003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368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383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383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437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439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439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468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40" priority="15">
      <formula>F57&gt;0</formula>
    </cfRule>
    <cfRule type="expression" dxfId="2139" priority="16">
      <formula>F57&lt;0</formula>
    </cfRule>
  </conditionalFormatting>
  <conditionalFormatting sqref="Q7">
    <cfRule type="expression" dxfId="2138" priority="13">
      <formula>Q7&gt;0</formula>
    </cfRule>
    <cfRule type="expression" dxfId="2137" priority="14">
      <formula>Q7&lt;0</formula>
    </cfRule>
  </conditionalFormatting>
  <conditionalFormatting sqref="Q8">
    <cfRule type="expression" dxfId="2136" priority="11">
      <formula>Q8&gt;0</formula>
    </cfRule>
    <cfRule type="expression" dxfId="2135" priority="12">
      <formula>Q8&lt;0</formula>
    </cfRule>
  </conditionalFormatting>
  <conditionalFormatting sqref="F25:F56">
    <cfRule type="expression" dxfId="2134" priority="9">
      <formula>F25&gt;0</formula>
    </cfRule>
    <cfRule type="expression" dxfId="2133" priority="10">
      <formula>F25&lt;0</formula>
    </cfRule>
  </conditionalFormatting>
  <conditionalFormatting sqref="H25:H56">
    <cfRule type="expression" dxfId="2132" priority="7">
      <formula>H25&gt;0</formula>
    </cfRule>
    <cfRule type="expression" dxfId="2131" priority="8">
      <formula>H25&lt;0</formula>
    </cfRule>
  </conditionalFormatting>
  <conditionalFormatting sqref="M58">
    <cfRule type="expression" dxfId="2130" priority="5">
      <formula>M58&gt;0</formula>
    </cfRule>
    <cfRule type="expression" dxfId="2129" priority="6">
      <formula>M58&lt;0</formula>
    </cfRule>
  </conditionalFormatting>
  <conditionalFormatting sqref="F84:F115">
    <cfRule type="expression" dxfId="2128" priority="3">
      <formula>F84&gt;0</formula>
    </cfRule>
    <cfRule type="expression" dxfId="2127" priority="4">
      <formula>F84&lt;0</formula>
    </cfRule>
  </conditionalFormatting>
  <conditionalFormatting sqref="H84:H115">
    <cfRule type="expression" dxfId="2126" priority="1">
      <formula>H84&gt;0</formula>
    </cfRule>
    <cfRule type="expression" dxfId="212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244.18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244.18</v>
      </c>
      <c r="R4" s="495">
        <v>8.9999999999999993E-3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268.59800000000001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266.15620000000001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263.71440000000001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261.27260000000001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258.83080000000001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256.38900000000001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253.94720000000001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251.50540000000001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249.06360000000001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246.62180000000001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244.18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241.73820000000001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239.29640000000001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236.8546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234.4128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231.971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229.5292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227.08740000000003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224.64560000000003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222.2038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219.762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4" priority="21">
      <formula>F47&gt;0</formula>
    </cfRule>
    <cfRule type="expression" dxfId="2123" priority="22">
      <formula>F47&lt;0</formula>
    </cfRule>
  </conditionalFormatting>
  <conditionalFormatting sqref="Q7">
    <cfRule type="expression" dxfId="2122" priority="19">
      <formula>Q7&gt;0</formula>
    </cfRule>
    <cfRule type="expression" dxfId="2121" priority="20">
      <formula>Q7&lt;0</formula>
    </cfRule>
  </conditionalFormatting>
  <conditionalFormatting sqref="Q8">
    <cfRule type="expression" dxfId="2120" priority="17">
      <formula>Q8&gt;0</formula>
    </cfRule>
    <cfRule type="expression" dxfId="2119" priority="18">
      <formula>Q8&lt;0</formula>
    </cfRule>
  </conditionalFormatting>
  <conditionalFormatting sqref="F25:F46">
    <cfRule type="expression" dxfId="2118" priority="15">
      <formula>F25&gt;0</formula>
    </cfRule>
    <cfRule type="expression" dxfId="2117" priority="16">
      <formula>F25&lt;0</formula>
    </cfRule>
  </conditionalFormatting>
  <conditionalFormatting sqref="H25:H46">
    <cfRule type="expression" dxfId="2116" priority="13">
      <formula>H25&gt;0</formula>
    </cfRule>
    <cfRule type="expression" dxfId="2115" priority="14">
      <formula>H25&lt;0</formula>
    </cfRule>
  </conditionalFormatting>
  <conditionalFormatting sqref="F89:F110">
    <cfRule type="expression" dxfId="2114" priority="11">
      <formula>F89&gt;0</formula>
    </cfRule>
    <cfRule type="expression" dxfId="2113" priority="12">
      <formula>F89&lt;0</formula>
    </cfRule>
  </conditionalFormatting>
  <conditionalFormatting sqref="H89:H110">
    <cfRule type="expression" dxfId="2112" priority="9">
      <formula>H89&gt;0</formula>
    </cfRule>
    <cfRule type="expression" dxfId="2111" priority="10">
      <formula>H89&lt;0</formula>
    </cfRule>
  </conditionalFormatting>
  <conditionalFormatting sqref="Q10">
    <cfRule type="expression" dxfId="2110" priority="7">
      <formula>Q10&gt;0</formula>
    </cfRule>
    <cfRule type="expression" dxfId="2109" priority="8">
      <formula>Q10&lt;0</formula>
    </cfRule>
  </conditionalFormatting>
  <conditionalFormatting sqref="J25:J38">
    <cfRule type="expression" dxfId="2108" priority="5">
      <formula>J25&gt;0</formula>
    </cfRule>
    <cfRule type="expression" dxfId="2107" priority="6">
      <formula>J25&lt;0</formula>
    </cfRule>
  </conditionalFormatting>
  <conditionalFormatting sqref="K25:K38">
    <cfRule type="expression" dxfId="2106" priority="3">
      <formula>K25&gt;0</formula>
    </cfRule>
    <cfRule type="expression" dxfId="2105" priority="4">
      <formula>K25&lt;0</formula>
    </cfRule>
  </conditionalFormatting>
  <conditionalFormatting sqref="L25:L38">
    <cfRule type="expression" dxfId="2104" priority="1">
      <formula>L25&gt;0</formula>
    </cfRule>
    <cfRule type="expression" dxfId="21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7"/>
  <sheetViews>
    <sheetView zoomScaleNormal="100" workbookViewId="0">
      <pane ySplit="1" topLeftCell="A6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37" t="s">
        <v>676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7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7.9015249999999648</v>
      </c>
      <c r="U3" s="121">
        <v>42866</v>
      </c>
      <c r="V3" s="837" t="s">
        <v>677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21.09</v>
      </c>
      <c r="R4" s="475">
        <v>-2.6800000000000001E-2</v>
      </c>
      <c r="U4" s="121">
        <v>43088</v>
      </c>
      <c r="V4" s="737" t="s">
        <v>778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732</v>
      </c>
      <c r="O5" s="11" t="s">
        <v>67</v>
      </c>
      <c r="Q5" s="3">
        <f>Q4*Q2</f>
        <v>42180</v>
      </c>
      <c r="U5" s="121">
        <v>43096</v>
      </c>
      <c r="V5" s="737" t="s">
        <v>783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15803.04999999993</v>
      </c>
      <c r="U6" s="121">
        <v>43103</v>
      </c>
      <c r="V6" s="737" t="s">
        <v>833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40992.521000001696</v>
      </c>
      <c r="R7">
        <v>300</v>
      </c>
      <c r="V7" s="737" t="s">
        <v>834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26376.95000000007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208</v>
      </c>
      <c r="Q9" s="134">
        <f>IF(Q2=0, 0, Q8/Q6)</f>
        <v>1.6691050145383446</v>
      </c>
      <c r="U9" s="121">
        <v>43106</v>
      </c>
      <c r="V9" s="748" t="s">
        <v>854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207</v>
      </c>
      <c r="P10" s="33"/>
      <c r="Q10" s="2">
        <f>M502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9.4831673779042207E-3</v>
      </c>
      <c r="R11">
        <f>0.05</f>
        <v>0.05</v>
      </c>
      <c r="U11" s="121">
        <v>43117</v>
      </c>
      <c r="V11" s="737" t="s">
        <v>890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946</v>
      </c>
      <c r="Q12" s="1" t="s">
        <v>1122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973</v>
      </c>
      <c r="Q13" s="2">
        <f>Q4/0.63</f>
        <v>33.476190476190474</v>
      </c>
      <c r="U13" s="121">
        <v>43120</v>
      </c>
      <c r="V13" s="737" t="s">
        <v>896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1111</v>
      </c>
      <c r="Q14" s="736">
        <v>0.17199999999999999</v>
      </c>
      <c r="V14" s="737" t="s">
        <v>899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1040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898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897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924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947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25.729800000000001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25.518899999999999</v>
      </c>
      <c r="U25" s="121">
        <v>43161</v>
      </c>
      <c r="V25" s="737" t="s">
        <v>948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25.308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25.097099999999998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24.886199999999999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24.6753</v>
      </c>
      <c r="V29" s="737" t="s">
        <v>1039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24.464399999999998</v>
      </c>
      <c r="V30" s="737" t="s">
        <v>1047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24.253499999999999</v>
      </c>
      <c r="V31" s="737" t="s">
        <v>1050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24.042599999999997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23.831699999999998</v>
      </c>
      <c r="U33" s="121">
        <v>43238</v>
      </c>
      <c r="V33" s="748" t="s">
        <v>1092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23.620800000000003</v>
      </c>
      <c r="V34" s="737" t="s">
        <v>1093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23.4099</v>
      </c>
      <c r="V35" s="737" t="s">
        <v>1094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23.199000000000002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22.988100000000003</v>
      </c>
      <c r="U37" s="121">
        <v>43285</v>
      </c>
      <c r="V37" s="737" t="s">
        <v>1159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22.777200000000001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22.566300000000002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22.355399999999999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22.144500000000001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21.933600000000002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21.7227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21.511800000000001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21.300899999999999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21.09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20.879100000000001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20.668199999999999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20.4573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20.246399999999998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20.035499999999999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19.8246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19.613700000000001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19.402799999999999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19.1919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18.981000000000002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18.770099999999999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18.559200000000001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18.348299999999998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18.1374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17.926500000000001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6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7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0" t="s">
        <v>1136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0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0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7">
        <v>200</v>
      </c>
      <c r="D84" s="77">
        <v>20.48</v>
      </c>
      <c r="E84" s="43">
        <v>0</v>
      </c>
      <c r="F84" s="43">
        <f t="shared" si="5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7">
        <v>200</v>
      </c>
      <c r="D85" s="77">
        <v>20.88</v>
      </c>
      <c r="E85" s="43">
        <v>0</v>
      </c>
      <c r="F85" s="43">
        <f t="shared" si="5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7">
        <v>300</v>
      </c>
      <c r="D86" s="77">
        <v>20.68</v>
      </c>
      <c r="E86" s="43">
        <v>0</v>
      </c>
      <c r="F86" s="43">
        <f t="shared" si="5"/>
        <v>6204</v>
      </c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26000</v>
      </c>
      <c r="D90" s="18"/>
      <c r="E90" s="18"/>
      <c r="F90" s="18">
        <f>SUM(F2:F89)</f>
        <v>416051.05</v>
      </c>
      <c r="G90" s="14"/>
      <c r="H90" s="71">
        <f>SUM(H2:H89)</f>
        <v>24000</v>
      </c>
      <c r="I90" s="79"/>
      <c r="J90" s="18"/>
      <c r="K90" s="18">
        <f>SUM(K2:K89)</f>
        <v>398534.75000000006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24000</v>
      </c>
      <c r="D91" s="343"/>
      <c r="E91" s="343"/>
      <c r="F91" s="344">
        <f>SumByColor($A$91, F2:F89)</f>
        <v>375307</v>
      </c>
      <c r="G91" s="343"/>
      <c r="H91" s="343">
        <f>SumByColor($A$91, H2:H89)</f>
        <v>24000</v>
      </c>
      <c r="I91" s="343"/>
      <c r="J91" s="344"/>
      <c r="K91" s="344">
        <f>SumByColor($A$91, K2:K89)</f>
        <v>398542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497</v>
      </c>
      <c r="K94" s="220" t="s">
        <v>150</v>
      </c>
      <c r="L94" s="220" t="s">
        <v>923</v>
      </c>
    </row>
    <row r="95" spans="1:35" x14ac:dyDescent="0.25">
      <c r="A95" t="s">
        <v>429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441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1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765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772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5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5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5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6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6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6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89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89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8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8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0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0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0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89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942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0">
        <v>5000</v>
      </c>
      <c r="D196" s="811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0">
        <v>5000</v>
      </c>
      <c r="D202" s="811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0">
        <v>5000</v>
      </c>
      <c r="D206" s="811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7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420">
        <v>2000</v>
      </c>
      <c r="D221" s="846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423">
        <v>2000</v>
      </c>
      <c r="D226" s="847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>
        <v>70.53</v>
      </c>
      <c r="P231" s="1"/>
    </row>
    <row r="232" spans="1:17" x14ac:dyDescent="0.25">
      <c r="A232">
        <v>1000</v>
      </c>
      <c r="B232" s="150">
        <v>43278</v>
      </c>
      <c r="C232" s="10">
        <v>2200</v>
      </c>
      <c r="D232" s="233">
        <v>9.2149999999999999</v>
      </c>
      <c r="E232" s="39">
        <v>21.22</v>
      </c>
      <c r="F232" s="39">
        <f t="shared" ref="F232" si="141">C232*(E232-D232)</f>
        <v>26410.999999999996</v>
      </c>
      <c r="G232" s="39">
        <f t="shared" ref="G232" si="142">D232*C232</f>
        <v>20273</v>
      </c>
      <c r="H232" s="222">
        <f t="shared" ref="H232" si="143">(E232-D232)/D232</f>
        <v>1.3027672273467172</v>
      </c>
      <c r="I232" s="39"/>
      <c r="J232" s="39"/>
      <c r="K232" s="39">
        <v>41027</v>
      </c>
      <c r="L232" s="39"/>
      <c r="P232" s="1"/>
      <c r="Q232" s="70"/>
    </row>
    <row r="233" spans="1:17" x14ac:dyDescent="0.25">
      <c r="A233">
        <v>1000</v>
      </c>
      <c r="B233" s="150">
        <v>43283</v>
      </c>
      <c r="C233" s="10">
        <v>2200</v>
      </c>
      <c r="D233" s="233">
        <v>9.2149999999999999</v>
      </c>
      <c r="E233" s="39">
        <v>20.66</v>
      </c>
      <c r="F233" s="39">
        <f t="shared" ref="F233:F236" si="144">C233*(E233-D233)</f>
        <v>25179</v>
      </c>
      <c r="G233" s="39">
        <f t="shared" ref="G233:G236" si="145">D233*C233</f>
        <v>20273</v>
      </c>
      <c r="H233" s="222">
        <f t="shared" ref="H233:H236" si="146">(E233-D233)/D233</f>
        <v>1.2419967444384157</v>
      </c>
      <c r="I233" s="39"/>
      <c r="J233" s="39"/>
      <c r="K233" s="39">
        <v>39795</v>
      </c>
      <c r="L233" s="39"/>
      <c r="P233" s="1"/>
    </row>
    <row r="234" spans="1:17" x14ac:dyDescent="0.25">
      <c r="A234">
        <v>800</v>
      </c>
      <c r="B234" s="150">
        <v>43284</v>
      </c>
      <c r="C234" s="423">
        <v>2000</v>
      </c>
      <c r="D234" s="847">
        <v>7.9779999999999998</v>
      </c>
      <c r="E234" s="39">
        <v>21</v>
      </c>
      <c r="F234" s="39">
        <f t="shared" si="144"/>
        <v>26044</v>
      </c>
      <c r="G234" s="39">
        <f t="shared" si="145"/>
        <v>15956</v>
      </c>
      <c r="H234" s="222">
        <f t="shared" si="146"/>
        <v>1.6322386563048383</v>
      </c>
      <c r="I234" s="39"/>
      <c r="J234" s="39"/>
      <c r="K234" s="39">
        <v>40659</v>
      </c>
      <c r="L234" s="39"/>
      <c r="P234" s="1"/>
      <c r="Q234" s="70"/>
    </row>
    <row r="235" spans="1:17" x14ac:dyDescent="0.25">
      <c r="B235" s="150">
        <v>43286</v>
      </c>
      <c r="C235" s="10">
        <v>2200</v>
      </c>
      <c r="D235" s="233">
        <v>9.1513000000000009</v>
      </c>
      <c r="E235" s="39">
        <v>20.88</v>
      </c>
      <c r="F235" s="39">
        <f t="shared" si="144"/>
        <v>25803.139999999996</v>
      </c>
      <c r="G235" s="39">
        <f t="shared" si="145"/>
        <v>20132.86</v>
      </c>
      <c r="H235" s="222">
        <f t="shared" si="146"/>
        <v>1.2816430452504013</v>
      </c>
      <c r="I235" s="39"/>
      <c r="J235" s="39"/>
      <c r="K235" s="39">
        <v>40419</v>
      </c>
      <c r="L235" s="39"/>
      <c r="Q235" s="70"/>
    </row>
    <row r="236" spans="1:17" x14ac:dyDescent="0.25">
      <c r="A236">
        <v>800</v>
      </c>
      <c r="B236" s="150">
        <v>43286</v>
      </c>
      <c r="C236" s="10">
        <v>2500</v>
      </c>
      <c r="D236" s="233">
        <v>10.535</v>
      </c>
      <c r="E236" s="39">
        <v>20.7</v>
      </c>
      <c r="F236" s="39">
        <f t="shared" si="144"/>
        <v>25412.499999999996</v>
      </c>
      <c r="G236" s="39">
        <f t="shared" si="145"/>
        <v>26337.5</v>
      </c>
      <c r="H236" s="222">
        <f t="shared" si="146"/>
        <v>0.96487897484575214</v>
      </c>
      <c r="I236" s="39"/>
      <c r="J236" s="39"/>
      <c r="K236" s="39">
        <v>40028</v>
      </c>
      <c r="L236" s="39"/>
      <c r="P236" s="1"/>
    </row>
    <row r="237" spans="1:17" x14ac:dyDescent="0.25">
      <c r="A237">
        <v>300</v>
      </c>
      <c r="B237" s="150">
        <v>43287</v>
      </c>
      <c r="C237" s="423">
        <v>2000</v>
      </c>
      <c r="D237" s="847">
        <v>7.9015000000000004</v>
      </c>
      <c r="E237" s="39">
        <v>21.07</v>
      </c>
      <c r="F237" s="39">
        <f t="shared" ref="F237" si="147">C237*(E237-D237)</f>
        <v>26337</v>
      </c>
      <c r="G237" s="39">
        <f t="shared" ref="G237" si="148">D237*C237</f>
        <v>15803</v>
      </c>
      <c r="H237" s="222">
        <f t="shared" ref="H237" si="149">(E237-D237)/D237</f>
        <v>1.666582294501044</v>
      </c>
      <c r="I237" s="39"/>
      <c r="J237" s="39"/>
      <c r="K237" s="39">
        <v>40952</v>
      </c>
      <c r="L237" s="39"/>
    </row>
    <row r="238" spans="1:17" x14ac:dyDescent="0.25">
      <c r="B238" s="150"/>
      <c r="C238" s="10"/>
      <c r="D238" s="233"/>
      <c r="E238" s="39"/>
      <c r="F238" s="39"/>
      <c r="G238" s="39"/>
      <c r="H238" s="222"/>
      <c r="I238" s="39"/>
      <c r="J238" s="39"/>
      <c r="K238" s="39"/>
      <c r="L238" s="39"/>
    </row>
    <row r="239" spans="1:17" x14ac:dyDescent="0.25">
      <c r="B239" s="150"/>
      <c r="C239" s="10"/>
      <c r="D239" s="233"/>
      <c r="E239" s="39"/>
      <c r="F239" s="39"/>
      <c r="G239" s="39"/>
      <c r="H239" s="222"/>
      <c r="I239" s="39"/>
      <c r="J239" s="39"/>
      <c r="K239" s="39"/>
      <c r="L239" s="39"/>
    </row>
    <row r="240" spans="1:17" x14ac:dyDescent="0.25">
      <c r="B240" s="150"/>
      <c r="C240" s="10"/>
      <c r="D240" s="233"/>
      <c r="E240" s="39"/>
      <c r="F240" s="39"/>
      <c r="G240" s="39"/>
      <c r="H240" s="222"/>
      <c r="I240" s="39"/>
      <c r="J240" s="39"/>
      <c r="K240" s="39"/>
      <c r="L240" s="39"/>
    </row>
    <row r="242" spans="2:9" ht="15" customHeight="1" x14ac:dyDescent="0.25">
      <c r="B242" s="618" t="s">
        <v>113</v>
      </c>
      <c r="C242" s="484" t="s">
        <v>146</v>
      </c>
      <c r="D242" s="619" t="s">
        <v>145</v>
      </c>
      <c r="E242" s="486" t="s">
        <v>147</v>
      </c>
      <c r="F242" s="487" t="s">
        <v>65</v>
      </c>
      <c r="G242" s="488" t="s">
        <v>151</v>
      </c>
      <c r="H242" s="487" t="s">
        <v>88</v>
      </c>
      <c r="I242" s="488" t="s">
        <v>154</v>
      </c>
    </row>
    <row r="243" spans="2:9" ht="18.75" customHeight="1" x14ac:dyDescent="0.25">
      <c r="B243" s="620">
        <v>42305</v>
      </c>
      <c r="C243" s="362">
        <v>2000</v>
      </c>
      <c r="D243" s="621">
        <v>34.06</v>
      </c>
      <c r="E243" s="363">
        <v>17.68</v>
      </c>
      <c r="F243" s="363">
        <v>-32767.45</v>
      </c>
      <c r="G243" s="363">
        <f t="shared" ref="G243:G249" si="150">IF(C243=0, 0,D243*C243)</f>
        <v>68120</v>
      </c>
      <c r="H243" s="365">
        <f t="shared" ref="H243:H249" si="151">IF(C243=0, D243, (E243-D243)/D243)</f>
        <v>-0.48091603053435117</v>
      </c>
      <c r="I243" s="363"/>
    </row>
    <row r="244" spans="2:9" x14ac:dyDescent="0.25">
      <c r="B244" s="620">
        <v>42307</v>
      </c>
      <c r="C244" s="362">
        <v>0</v>
      </c>
      <c r="D244" s="621" t="s">
        <v>128</v>
      </c>
      <c r="E244" s="363">
        <v>17.55</v>
      </c>
      <c r="F244" s="363">
        <v>-30722.2</v>
      </c>
      <c r="G244" s="363">
        <f t="shared" si="150"/>
        <v>0</v>
      </c>
      <c r="H244" s="365" t="str">
        <f t="shared" si="151"/>
        <v>N/A</v>
      </c>
      <c r="I244" s="363"/>
    </row>
    <row r="245" spans="2:9" x14ac:dyDescent="0.25">
      <c r="B245" s="620">
        <v>42310</v>
      </c>
      <c r="C245" s="362">
        <v>0</v>
      </c>
      <c r="D245" s="621" t="s">
        <v>128</v>
      </c>
      <c r="E245" s="363">
        <v>19.010000000000002</v>
      </c>
      <c r="F245" s="363">
        <v>-30693.25</v>
      </c>
      <c r="G245" s="363">
        <f t="shared" si="150"/>
        <v>0</v>
      </c>
      <c r="H245" s="365" t="str">
        <f t="shared" si="151"/>
        <v>N/A</v>
      </c>
      <c r="I245" s="363"/>
    </row>
    <row r="246" spans="2:9" x14ac:dyDescent="0.25">
      <c r="B246" s="620">
        <v>42314</v>
      </c>
      <c r="C246" s="362">
        <v>2500</v>
      </c>
      <c r="D246" s="621">
        <v>30.24</v>
      </c>
      <c r="E246" s="363">
        <v>18.29</v>
      </c>
      <c r="F246" s="363">
        <v>-29878.25</v>
      </c>
      <c r="G246" s="363">
        <f t="shared" si="150"/>
        <v>75600</v>
      </c>
      <c r="H246" s="365">
        <f t="shared" si="151"/>
        <v>-0.39517195767195767</v>
      </c>
      <c r="I246" s="363"/>
    </row>
    <row r="247" spans="2:9" x14ac:dyDescent="0.25">
      <c r="B247" s="620">
        <v>42318</v>
      </c>
      <c r="C247" s="362">
        <v>0</v>
      </c>
      <c r="D247" s="621" t="s">
        <v>128</v>
      </c>
      <c r="E247" s="363">
        <v>18.78</v>
      </c>
      <c r="F247" s="363">
        <v>-28604.09</v>
      </c>
      <c r="G247" s="363">
        <f t="shared" si="150"/>
        <v>0</v>
      </c>
      <c r="H247" s="365" t="str">
        <f t="shared" si="151"/>
        <v>N/A</v>
      </c>
      <c r="I247" s="363"/>
    </row>
    <row r="248" spans="2:9" x14ac:dyDescent="0.25">
      <c r="B248" s="620">
        <v>42328</v>
      </c>
      <c r="C248" s="362">
        <v>3078</v>
      </c>
      <c r="D248" s="621">
        <v>26.76</v>
      </c>
      <c r="E248" s="363">
        <v>17.440000000000001</v>
      </c>
      <c r="F248" s="363">
        <v>-28696.448999999906</v>
      </c>
      <c r="G248" s="363">
        <f t="shared" si="150"/>
        <v>82367.28</v>
      </c>
      <c r="H248" s="365">
        <f t="shared" si="151"/>
        <v>-0.34828101644245141</v>
      </c>
      <c r="I248" s="363"/>
    </row>
    <row r="249" spans="2:9" x14ac:dyDescent="0.25">
      <c r="B249" s="620">
        <v>42331</v>
      </c>
      <c r="C249" s="362">
        <v>0</v>
      </c>
      <c r="D249" s="621" t="s">
        <v>128</v>
      </c>
      <c r="E249" s="363">
        <v>17.53</v>
      </c>
      <c r="F249" s="363">
        <v>-28051.068999999901</v>
      </c>
      <c r="G249" s="363">
        <f t="shared" si="150"/>
        <v>0</v>
      </c>
      <c r="H249" s="365" t="str">
        <f t="shared" si="151"/>
        <v>N/A</v>
      </c>
      <c r="I249" s="363"/>
    </row>
    <row r="250" spans="2:9" x14ac:dyDescent="0.25">
      <c r="B250" s="620">
        <v>42335</v>
      </c>
      <c r="C250" s="362">
        <v>3078</v>
      </c>
      <c r="D250" s="621">
        <v>26.85</v>
      </c>
      <c r="E250" s="363">
        <v>17.73</v>
      </c>
      <c r="F250" s="363">
        <f>C250*(E250-D250)</f>
        <v>-28071.360000000004</v>
      </c>
      <c r="G250" s="363">
        <f>D250*C250</f>
        <v>82644.3</v>
      </c>
      <c r="H250" s="364">
        <f>(E250-D250)/D250</f>
        <v>-0.33966480446927377</v>
      </c>
      <c r="I250" s="363"/>
    </row>
    <row r="251" spans="2:9" x14ac:dyDescent="0.25">
      <c r="B251" s="620">
        <v>42335</v>
      </c>
      <c r="C251" s="362">
        <v>3578</v>
      </c>
      <c r="D251" s="621">
        <v>25.55</v>
      </c>
      <c r="E251" s="363">
        <v>17.440000000000001</v>
      </c>
      <c r="F251" s="363">
        <f t="shared" ref="F251:F282" si="152">C251*(E251-D251)</f>
        <v>-29017.579999999998</v>
      </c>
      <c r="G251" s="363">
        <f t="shared" ref="G251:G280" si="153">D251*C251</f>
        <v>91417.900000000009</v>
      </c>
      <c r="H251" s="364">
        <f t="shared" ref="H251:H280" si="154">(E251-D251)/D251</f>
        <v>-0.31741682974559682</v>
      </c>
      <c r="I251" s="363"/>
    </row>
    <row r="252" spans="2:9" x14ac:dyDescent="0.25">
      <c r="B252" s="620">
        <v>42340</v>
      </c>
      <c r="C252" s="362">
        <v>4178</v>
      </c>
      <c r="D252" s="621">
        <v>24.29</v>
      </c>
      <c r="E252" s="363">
        <v>16.670000000000002</v>
      </c>
      <c r="F252" s="363">
        <f t="shared" si="152"/>
        <v>-31836.35999999999</v>
      </c>
      <c r="G252" s="363">
        <f t="shared" si="153"/>
        <v>101483.62</v>
      </c>
      <c r="H252" s="364">
        <f t="shared" si="154"/>
        <v>-0.31370934540963352</v>
      </c>
      <c r="I252" s="363"/>
    </row>
    <row r="253" spans="2:9" x14ac:dyDescent="0.25">
      <c r="B253" s="620">
        <v>42342</v>
      </c>
      <c r="C253" s="362">
        <v>4678</v>
      </c>
      <c r="D253" s="621">
        <v>23.39</v>
      </c>
      <c r="E253" s="363">
        <v>16.12</v>
      </c>
      <c r="F253" s="363">
        <f t="shared" si="152"/>
        <v>-34009.06</v>
      </c>
      <c r="G253" s="363">
        <f t="shared" si="153"/>
        <v>109418.42</v>
      </c>
      <c r="H253" s="364">
        <f t="shared" si="154"/>
        <v>-0.31081658828559211</v>
      </c>
      <c r="I253" s="363"/>
    </row>
    <row r="254" spans="2:9" x14ac:dyDescent="0.25">
      <c r="B254" s="620">
        <v>42342</v>
      </c>
      <c r="C254" s="362">
        <v>4178</v>
      </c>
      <c r="D254" s="621">
        <v>24.26</v>
      </c>
      <c r="E254" s="363">
        <v>16.12</v>
      </c>
      <c r="F254" s="363">
        <f t="shared" si="152"/>
        <v>-34008.920000000006</v>
      </c>
      <c r="G254" s="363">
        <f t="shared" si="153"/>
        <v>101358.28000000001</v>
      </c>
      <c r="H254" s="364">
        <f t="shared" si="154"/>
        <v>-0.33553173948887055</v>
      </c>
      <c r="I254" s="363"/>
    </row>
    <row r="255" spans="2:9" x14ac:dyDescent="0.25">
      <c r="B255" s="620">
        <v>42345</v>
      </c>
      <c r="C255" s="362">
        <v>4678</v>
      </c>
      <c r="D255" s="621">
        <v>23.24</v>
      </c>
      <c r="E255" s="363">
        <v>14.78</v>
      </c>
      <c r="F255" s="363">
        <f t="shared" si="152"/>
        <v>-39575.879999999997</v>
      </c>
      <c r="G255" s="363">
        <f t="shared" si="153"/>
        <v>108716.71999999999</v>
      </c>
      <c r="H255" s="364">
        <f t="shared" si="154"/>
        <v>-0.36402753872633387</v>
      </c>
      <c r="I255" s="363"/>
    </row>
    <row r="256" spans="2:9" x14ac:dyDescent="0.25">
      <c r="B256" s="620">
        <v>42347</v>
      </c>
      <c r="C256" s="362">
        <v>4778</v>
      </c>
      <c r="D256" s="621">
        <v>23.06</v>
      </c>
      <c r="E256" s="363">
        <v>14.92</v>
      </c>
      <c r="F256" s="363">
        <f t="shared" si="152"/>
        <v>-38892.919999999991</v>
      </c>
      <c r="G256" s="363">
        <f t="shared" si="153"/>
        <v>110180.68</v>
      </c>
      <c r="H256" s="364">
        <f t="shared" si="154"/>
        <v>-0.3529921942758022</v>
      </c>
      <c r="I256" s="363"/>
    </row>
    <row r="257" spans="2:9" x14ac:dyDescent="0.25">
      <c r="B257" s="620">
        <v>42348</v>
      </c>
      <c r="C257" s="362">
        <v>4178</v>
      </c>
      <c r="D257" s="621">
        <v>24.23</v>
      </c>
      <c r="E257" s="363">
        <v>14.74</v>
      </c>
      <c r="F257" s="363">
        <f t="shared" si="152"/>
        <v>-39649.22</v>
      </c>
      <c r="G257" s="363">
        <f t="shared" si="153"/>
        <v>101232.94</v>
      </c>
      <c r="H257" s="364">
        <f t="shared" si="154"/>
        <v>-0.39166322740404458</v>
      </c>
      <c r="I257" s="363"/>
    </row>
    <row r="258" spans="2:9" x14ac:dyDescent="0.25">
      <c r="B258" s="620">
        <v>42349</v>
      </c>
      <c r="C258" s="362">
        <v>3678</v>
      </c>
      <c r="D258" s="621">
        <v>25.57</v>
      </c>
      <c r="E258" s="363">
        <v>14.34</v>
      </c>
      <c r="F258" s="363">
        <f t="shared" si="152"/>
        <v>-41303.94</v>
      </c>
      <c r="G258" s="363">
        <f t="shared" si="153"/>
        <v>94046.46</v>
      </c>
      <c r="H258" s="364">
        <f t="shared" si="154"/>
        <v>-0.43918654673445445</v>
      </c>
      <c r="I258" s="363"/>
    </row>
    <row r="259" spans="2:9" x14ac:dyDescent="0.25">
      <c r="B259" s="620">
        <v>42352</v>
      </c>
      <c r="C259" s="362">
        <v>4178</v>
      </c>
      <c r="D259" s="621">
        <v>24.18</v>
      </c>
      <c r="E259" s="363">
        <v>13.96</v>
      </c>
      <c r="F259" s="363">
        <f t="shared" si="152"/>
        <v>-42699.159999999996</v>
      </c>
      <c r="G259" s="363">
        <f t="shared" si="153"/>
        <v>101024.04</v>
      </c>
      <c r="H259" s="364">
        <f t="shared" si="154"/>
        <v>-0.42266335814722905</v>
      </c>
      <c r="I259" s="363"/>
    </row>
    <row r="260" spans="2:9" x14ac:dyDescent="0.25">
      <c r="B260" s="620">
        <v>42355</v>
      </c>
      <c r="C260" s="362">
        <v>4678</v>
      </c>
      <c r="D260" s="621">
        <v>22.98</v>
      </c>
      <c r="E260" s="363">
        <v>12.78</v>
      </c>
      <c r="F260" s="363">
        <f t="shared" si="152"/>
        <v>-47715.600000000006</v>
      </c>
      <c r="G260" s="363">
        <f t="shared" si="153"/>
        <v>107500.44</v>
      </c>
      <c r="H260" s="364">
        <f t="shared" si="154"/>
        <v>-0.44386422976501311</v>
      </c>
      <c r="I260" s="363"/>
    </row>
    <row r="261" spans="2:9" x14ac:dyDescent="0.25">
      <c r="B261" s="620">
        <v>42356</v>
      </c>
      <c r="C261" s="362">
        <v>5178</v>
      </c>
      <c r="D261" s="621">
        <v>21.99</v>
      </c>
      <c r="E261" s="363">
        <v>12.95</v>
      </c>
      <c r="F261" s="363">
        <f t="shared" si="152"/>
        <v>-46809.119999999995</v>
      </c>
      <c r="G261" s="363">
        <f t="shared" si="153"/>
        <v>113864.21999999999</v>
      </c>
      <c r="H261" s="364">
        <f t="shared" si="154"/>
        <v>-0.41109595270577537</v>
      </c>
      <c r="I261" s="363"/>
    </row>
    <row r="262" spans="2:9" x14ac:dyDescent="0.25">
      <c r="B262" s="620">
        <v>42356</v>
      </c>
      <c r="C262" s="362">
        <v>6178</v>
      </c>
      <c r="D262" s="621">
        <v>20.48</v>
      </c>
      <c r="E262" s="363">
        <v>12.76</v>
      </c>
      <c r="F262" s="363">
        <f t="shared" si="152"/>
        <v>-47694.16</v>
      </c>
      <c r="G262" s="363">
        <f t="shared" si="153"/>
        <v>126525.44</v>
      </c>
      <c r="H262" s="364">
        <f t="shared" si="154"/>
        <v>-0.376953125</v>
      </c>
      <c r="I262" s="363"/>
    </row>
    <row r="263" spans="2:9" x14ac:dyDescent="0.25">
      <c r="B263" s="620">
        <v>42356</v>
      </c>
      <c r="C263" s="362">
        <v>6400</v>
      </c>
      <c r="D263" s="621">
        <v>20.2</v>
      </c>
      <c r="E263" s="363">
        <v>12.68</v>
      </c>
      <c r="F263" s="363">
        <f t="shared" si="152"/>
        <v>-48128</v>
      </c>
      <c r="G263" s="363">
        <f t="shared" si="153"/>
        <v>129280</v>
      </c>
      <c r="H263" s="364">
        <f t="shared" si="154"/>
        <v>-0.37227722772277227</v>
      </c>
      <c r="I263" s="363"/>
    </row>
    <row r="264" spans="2:9" x14ac:dyDescent="0.25">
      <c r="B264" s="620">
        <v>42359</v>
      </c>
      <c r="C264" s="362">
        <v>5178</v>
      </c>
      <c r="D264" s="621">
        <v>21.96</v>
      </c>
      <c r="E264" s="363">
        <v>12.66</v>
      </c>
      <c r="F264" s="363">
        <f t="shared" si="152"/>
        <v>-48155.4</v>
      </c>
      <c r="G264" s="363">
        <f t="shared" si="153"/>
        <v>113708.88</v>
      </c>
      <c r="H264" s="364">
        <f t="shared" si="154"/>
        <v>-0.42349726775956287</v>
      </c>
      <c r="I264" s="363"/>
    </row>
    <row r="265" spans="2:9" x14ac:dyDescent="0.25">
      <c r="B265" s="620">
        <v>42361</v>
      </c>
      <c r="C265" s="362">
        <v>4178</v>
      </c>
      <c r="D265" s="621">
        <v>24.07</v>
      </c>
      <c r="E265" s="363">
        <v>13.96</v>
      </c>
      <c r="F265" s="363">
        <f t="shared" si="152"/>
        <v>-42239.579999999994</v>
      </c>
      <c r="G265" s="363">
        <f t="shared" si="153"/>
        <v>100564.46</v>
      </c>
      <c r="H265" s="364">
        <f t="shared" si="154"/>
        <v>-0.42002492729538843</v>
      </c>
      <c r="I265" s="363"/>
    </row>
    <row r="266" spans="2:9" x14ac:dyDescent="0.25">
      <c r="B266" s="620">
        <v>42361</v>
      </c>
      <c r="C266" s="362">
        <v>4178</v>
      </c>
      <c r="D266" s="621">
        <v>24.03</v>
      </c>
      <c r="E266" s="363">
        <v>13.96</v>
      </c>
      <c r="F266" s="363">
        <f t="shared" si="152"/>
        <v>-42072.46</v>
      </c>
      <c r="G266" s="363">
        <f t="shared" si="153"/>
        <v>100397.34000000001</v>
      </c>
      <c r="H266" s="364">
        <f t="shared" si="154"/>
        <v>-0.41905950894714938</v>
      </c>
      <c r="I266" s="363"/>
    </row>
    <row r="267" spans="2:9" x14ac:dyDescent="0.25">
      <c r="B267" s="620">
        <v>42366</v>
      </c>
      <c r="C267" s="383">
        <v>6678</v>
      </c>
      <c r="D267" s="622">
        <v>19.91</v>
      </c>
      <c r="E267" s="363">
        <v>13.09</v>
      </c>
      <c r="F267" s="363">
        <f t="shared" si="152"/>
        <v>-45543.96</v>
      </c>
      <c r="G267" s="363">
        <f t="shared" si="153"/>
        <v>132958.98000000001</v>
      </c>
      <c r="H267" s="364">
        <f t="shared" si="154"/>
        <v>-0.34254143646408841</v>
      </c>
      <c r="I267" s="363"/>
    </row>
    <row r="268" spans="2:9" x14ac:dyDescent="0.25">
      <c r="B268" s="620">
        <v>42367</v>
      </c>
      <c r="C268" s="383">
        <v>8678</v>
      </c>
      <c r="D268" s="622">
        <v>18.32</v>
      </c>
      <c r="E268" s="363">
        <v>13.03</v>
      </c>
      <c r="F268" s="363">
        <f t="shared" si="152"/>
        <v>-45906.62000000001</v>
      </c>
      <c r="G268" s="363">
        <f t="shared" si="153"/>
        <v>158980.96</v>
      </c>
      <c r="H268" s="364">
        <f t="shared" si="154"/>
        <v>-0.28875545851528389</v>
      </c>
      <c r="I268" s="363"/>
    </row>
    <row r="269" spans="2:9" x14ac:dyDescent="0.25">
      <c r="B269" s="620">
        <v>42368</v>
      </c>
      <c r="C269" s="362">
        <v>9678</v>
      </c>
      <c r="D269" s="621">
        <v>17.73</v>
      </c>
      <c r="E269" s="363">
        <v>12.38</v>
      </c>
      <c r="F269" s="363">
        <f t="shared" si="152"/>
        <v>-51777.299999999996</v>
      </c>
      <c r="G269" s="363">
        <f t="shared" si="153"/>
        <v>171590.94</v>
      </c>
      <c r="H269" s="365">
        <f t="shared" si="154"/>
        <v>-0.30174844895657077</v>
      </c>
      <c r="I269" s="363"/>
    </row>
    <row r="270" spans="2:9" x14ac:dyDescent="0.25">
      <c r="B270" s="620">
        <v>42369</v>
      </c>
      <c r="C270" s="362">
        <v>8678</v>
      </c>
      <c r="D270" s="621">
        <v>18.312999999999999</v>
      </c>
      <c r="E270" s="363">
        <v>12.59</v>
      </c>
      <c r="F270" s="363">
        <f t="shared" si="152"/>
        <v>-49664.193999999989</v>
      </c>
      <c r="G270" s="363">
        <f t="shared" si="153"/>
        <v>158920.21399999998</v>
      </c>
      <c r="H270" s="365">
        <f t="shared" si="154"/>
        <v>-0.3125102386282968</v>
      </c>
      <c r="I270" s="363"/>
    </row>
    <row r="271" spans="2:9" x14ac:dyDescent="0.25">
      <c r="B271" s="620">
        <v>42374</v>
      </c>
      <c r="C271" s="362">
        <v>7678</v>
      </c>
      <c r="D271" s="621">
        <v>19.010000000000002</v>
      </c>
      <c r="E271" s="363">
        <v>12.76</v>
      </c>
      <c r="F271" s="363">
        <f t="shared" si="152"/>
        <v>-47987.500000000015</v>
      </c>
      <c r="G271" s="363">
        <f t="shared" si="153"/>
        <v>145958.78</v>
      </c>
      <c r="H271" s="365">
        <f t="shared" si="154"/>
        <v>-0.32877432930036832</v>
      </c>
      <c r="I271" s="363"/>
    </row>
    <row r="272" spans="2:9" x14ac:dyDescent="0.25">
      <c r="B272" s="620">
        <v>42375</v>
      </c>
      <c r="C272" s="362">
        <v>8678</v>
      </c>
      <c r="D272" s="621">
        <v>18.257000000000001</v>
      </c>
      <c r="E272" s="363">
        <v>12.76</v>
      </c>
      <c r="F272" s="363">
        <f t="shared" si="152"/>
        <v>-47702.966000000015</v>
      </c>
      <c r="G272" s="363">
        <f t="shared" si="153"/>
        <v>158434.24600000001</v>
      </c>
      <c r="H272" s="365">
        <f t="shared" si="154"/>
        <v>-0.30108999287944355</v>
      </c>
      <c r="I272" s="363"/>
    </row>
    <row r="273" spans="2:14" x14ac:dyDescent="0.25">
      <c r="B273" s="620">
        <v>42375</v>
      </c>
      <c r="C273" s="362">
        <v>9678</v>
      </c>
      <c r="D273" s="621">
        <v>17.579999999999998</v>
      </c>
      <c r="E273" s="363">
        <v>11.28</v>
      </c>
      <c r="F273" s="363">
        <f t="shared" si="152"/>
        <v>-60971.399999999987</v>
      </c>
      <c r="G273" s="363">
        <f t="shared" si="153"/>
        <v>170139.24</v>
      </c>
      <c r="H273" s="365">
        <f t="shared" si="154"/>
        <v>-0.35836177474402725</v>
      </c>
      <c r="I273" s="363"/>
    </row>
    <row r="274" spans="2:14" x14ac:dyDescent="0.25">
      <c r="B274" s="620">
        <v>42398</v>
      </c>
      <c r="C274" s="362">
        <v>9278</v>
      </c>
      <c r="D274" s="621">
        <v>17.93</v>
      </c>
      <c r="E274" s="363">
        <v>9.56</v>
      </c>
      <c r="F274" s="363">
        <f t="shared" si="152"/>
        <v>-77656.859999999986</v>
      </c>
      <c r="G274" s="363">
        <f t="shared" si="153"/>
        <v>166354.54</v>
      </c>
      <c r="H274" s="365">
        <f t="shared" si="154"/>
        <v>-0.46681539319576126</v>
      </c>
      <c r="I274" s="363"/>
    </row>
    <row r="275" spans="2:14" x14ac:dyDescent="0.25">
      <c r="B275" s="620">
        <v>42402</v>
      </c>
      <c r="C275" s="362">
        <v>9678</v>
      </c>
      <c r="D275" s="621">
        <v>17.559999999999999</v>
      </c>
      <c r="E275" s="363">
        <v>8.74</v>
      </c>
      <c r="F275" s="363">
        <f t="shared" si="152"/>
        <v>-85359.959999999992</v>
      </c>
      <c r="G275" s="363">
        <f t="shared" si="153"/>
        <v>169945.68</v>
      </c>
      <c r="H275" s="365">
        <f t="shared" si="154"/>
        <v>-0.50227790432801822</v>
      </c>
      <c r="I275" s="363"/>
    </row>
    <row r="276" spans="2:14" x14ac:dyDescent="0.25">
      <c r="B276" s="620">
        <v>42411</v>
      </c>
      <c r="C276" s="362">
        <v>9678</v>
      </c>
      <c r="D276" s="621">
        <v>17.553999999999998</v>
      </c>
      <c r="E276" s="363">
        <v>7.13</v>
      </c>
      <c r="F276" s="363">
        <f t="shared" si="152"/>
        <v>-100883.47199999999</v>
      </c>
      <c r="G276" s="363">
        <f t="shared" si="153"/>
        <v>169887.61199999999</v>
      </c>
      <c r="H276" s="364">
        <f t="shared" si="154"/>
        <v>-0.59382476928335426</v>
      </c>
      <c r="I276" s="363"/>
    </row>
    <row r="277" spans="2:14" x14ac:dyDescent="0.25">
      <c r="B277" s="620">
        <v>42412</v>
      </c>
      <c r="C277" s="362">
        <v>9678</v>
      </c>
      <c r="D277" s="621">
        <v>17.55</v>
      </c>
      <c r="E277" s="363">
        <v>7.46</v>
      </c>
      <c r="F277" s="363">
        <f t="shared" si="152"/>
        <v>-97651.02</v>
      </c>
      <c r="G277" s="363">
        <f t="shared" si="153"/>
        <v>169848.9</v>
      </c>
      <c r="H277" s="364">
        <f t="shared" si="154"/>
        <v>-0.57492877492877492</v>
      </c>
      <c r="I277" s="363"/>
    </row>
    <row r="278" spans="2:14" x14ac:dyDescent="0.25">
      <c r="B278" s="620">
        <v>42416</v>
      </c>
      <c r="C278" s="362">
        <v>9178</v>
      </c>
      <c r="D278" s="621">
        <v>18.084</v>
      </c>
      <c r="E278" s="363">
        <v>7.49</v>
      </c>
      <c r="F278" s="363">
        <f t="shared" si="152"/>
        <v>-97231.731999999989</v>
      </c>
      <c r="G278" s="363">
        <f t="shared" si="153"/>
        <v>165974.95199999999</v>
      </c>
      <c r="H278" s="364">
        <f t="shared" si="154"/>
        <v>-0.58582172085821715</v>
      </c>
      <c r="I278" s="363"/>
    </row>
    <row r="279" spans="2:14" x14ac:dyDescent="0.25">
      <c r="B279" s="620">
        <v>42416</v>
      </c>
      <c r="C279" s="362">
        <v>9678</v>
      </c>
      <c r="D279" s="621">
        <v>17.536999999999999</v>
      </c>
      <c r="E279" s="363">
        <v>7.49</v>
      </c>
      <c r="F279" s="363">
        <f t="shared" si="152"/>
        <v>-97234.865999999995</v>
      </c>
      <c r="G279" s="363">
        <f t="shared" si="153"/>
        <v>169723.08599999998</v>
      </c>
      <c r="H279" s="364">
        <f t="shared" si="154"/>
        <v>-0.57290300507498426</v>
      </c>
      <c r="I279" s="363"/>
    </row>
    <row r="280" spans="2:14" x14ac:dyDescent="0.25">
      <c r="B280" s="620">
        <v>42418</v>
      </c>
      <c r="C280" s="362">
        <v>13478</v>
      </c>
      <c r="D280" s="621">
        <v>14.673999999999999</v>
      </c>
      <c r="E280" s="363">
        <v>6.93</v>
      </c>
      <c r="F280" s="363">
        <f t="shared" si="152"/>
        <v>-104373.632</v>
      </c>
      <c r="G280" s="363">
        <f t="shared" si="153"/>
        <v>197776.17199999999</v>
      </c>
      <c r="H280" s="364">
        <f t="shared" si="154"/>
        <v>-0.52773613193403301</v>
      </c>
      <c r="I280" s="363"/>
    </row>
    <row r="281" spans="2:14" x14ac:dyDescent="0.25">
      <c r="B281" s="620">
        <v>42422</v>
      </c>
      <c r="C281" s="362">
        <v>10978</v>
      </c>
      <c r="D281" s="621">
        <v>16.314</v>
      </c>
      <c r="E281" s="363">
        <v>7.49</v>
      </c>
      <c r="F281" s="363">
        <f t="shared" si="152"/>
        <v>-96869.872000000003</v>
      </c>
      <c r="G281" s="363">
        <f>IF(C281=0, 0,D281*C281)</f>
        <v>179095.092</v>
      </c>
      <c r="H281" s="364">
        <f>IF(C281=0, D281, (E281-D281)/D281)</f>
        <v>-0.54088512933676591</v>
      </c>
      <c r="I281" s="363"/>
    </row>
    <row r="282" spans="2:14" x14ac:dyDescent="0.25">
      <c r="B282" s="620">
        <v>42422</v>
      </c>
      <c r="C282" s="362">
        <v>9978</v>
      </c>
      <c r="D282" s="621">
        <v>17.199000000000002</v>
      </c>
      <c r="E282" s="363">
        <v>7.49</v>
      </c>
      <c r="F282" s="363">
        <f t="shared" si="152"/>
        <v>-96876.402000000016</v>
      </c>
      <c r="G282" s="363">
        <f>IF(C282=0, 0,D282*C282)</f>
        <v>171611.622</v>
      </c>
      <c r="H282" s="364">
        <f>IF(C282=0, D282, (E282-D282)/D282)</f>
        <v>-0.56450956450956458</v>
      </c>
      <c r="I282" s="363"/>
    </row>
    <row r="283" spans="2:14" x14ac:dyDescent="0.25">
      <c r="B283" s="620">
        <v>42426</v>
      </c>
      <c r="C283" s="362">
        <v>9678</v>
      </c>
      <c r="D283" s="621">
        <v>17.489000000000001</v>
      </c>
      <c r="E283" s="363">
        <v>7.49</v>
      </c>
      <c r="F283" s="363">
        <f t="shared" ref="F283:F291" si="155">C283*(E283-D283)</f>
        <v>-96770.322</v>
      </c>
      <c r="G283" s="363">
        <f>IF(C283=0, 0,D283*C283)</f>
        <v>169258.54200000002</v>
      </c>
      <c r="H283" s="364">
        <f>IF(C283=0, D283, (E283-D283)/D283)</f>
        <v>-0.57173080221853734</v>
      </c>
      <c r="I283" s="363"/>
    </row>
    <row r="284" spans="2:14" x14ac:dyDescent="0.25">
      <c r="B284" s="620">
        <v>42426</v>
      </c>
      <c r="C284" s="362">
        <v>9178</v>
      </c>
      <c r="D284" s="621">
        <v>18.02</v>
      </c>
      <c r="E284" s="363">
        <v>7.76</v>
      </c>
      <c r="F284" s="363">
        <f t="shared" si="155"/>
        <v>-94166.28</v>
      </c>
      <c r="G284" s="363">
        <f t="shared" ref="G284:G291" si="156">IF(C284=0, 0,D284*C284)</f>
        <v>165387.56</v>
      </c>
      <c r="H284" s="364">
        <f t="shared" ref="H284:H291" si="157">IF(C284=0, D284, (E284-D284)/D284)</f>
        <v>-0.5693673695893452</v>
      </c>
      <c r="I284" s="363"/>
      <c r="N284" s="70"/>
    </row>
    <row r="285" spans="2:14" x14ac:dyDescent="0.25">
      <c r="B285" s="620">
        <v>42426</v>
      </c>
      <c r="C285" s="362">
        <v>8178</v>
      </c>
      <c r="D285" s="621">
        <v>19.245999999999999</v>
      </c>
      <c r="E285" s="363">
        <v>8</v>
      </c>
      <c r="F285" s="363">
        <f t="shared" si="155"/>
        <v>-91969.787999999986</v>
      </c>
      <c r="G285" s="363">
        <f t="shared" si="156"/>
        <v>157393.788</v>
      </c>
      <c r="H285" s="364">
        <f t="shared" si="157"/>
        <v>-0.58432921126467829</v>
      </c>
      <c r="I285" s="363"/>
    </row>
    <row r="286" spans="2:14" x14ac:dyDescent="0.25">
      <c r="B286" s="620">
        <v>42426</v>
      </c>
      <c r="C286" s="362">
        <v>6678</v>
      </c>
      <c r="D286" s="621">
        <v>21.75</v>
      </c>
      <c r="E286" s="363">
        <v>8.1</v>
      </c>
      <c r="F286" s="363">
        <f t="shared" si="155"/>
        <v>-91154.7</v>
      </c>
      <c r="G286" s="363">
        <f t="shared" si="156"/>
        <v>145246.5</v>
      </c>
      <c r="H286" s="364">
        <f t="shared" si="157"/>
        <v>-0.62758620689655176</v>
      </c>
      <c r="I286" s="363"/>
    </row>
    <row r="287" spans="2:14" x14ac:dyDescent="0.25">
      <c r="B287" s="620">
        <v>42426</v>
      </c>
      <c r="C287" s="362">
        <v>8678</v>
      </c>
      <c r="D287" s="621">
        <v>18.568999999999999</v>
      </c>
      <c r="E287" s="363">
        <v>7.94</v>
      </c>
      <c r="F287" s="363">
        <f t="shared" si="155"/>
        <v>-92238.461999999985</v>
      </c>
      <c r="G287" s="363">
        <f t="shared" si="156"/>
        <v>161141.78199999998</v>
      </c>
      <c r="H287" s="364">
        <f t="shared" si="157"/>
        <v>-0.57240562227368186</v>
      </c>
      <c r="I287" s="363"/>
    </row>
    <row r="288" spans="2:14" x14ac:dyDescent="0.25">
      <c r="B288" s="620">
        <v>42429</v>
      </c>
      <c r="C288" s="362">
        <v>7678</v>
      </c>
      <c r="D288" s="621">
        <v>19.876000000000001</v>
      </c>
      <c r="E288" s="363">
        <v>8.2100000000000009</v>
      </c>
      <c r="F288" s="363">
        <f t="shared" si="155"/>
        <v>-89571.54800000001</v>
      </c>
      <c r="G288" s="363">
        <f t="shared" si="156"/>
        <v>152607.92800000001</v>
      </c>
      <c r="H288" s="364">
        <f t="shared" si="157"/>
        <v>-0.58693902193600322</v>
      </c>
      <c r="I288" s="363"/>
    </row>
    <row r="289" spans="2:9" x14ac:dyDescent="0.25">
      <c r="B289" s="620">
        <v>42429</v>
      </c>
      <c r="C289" s="362">
        <v>9678</v>
      </c>
      <c r="D289" s="621">
        <v>17.463000000000001</v>
      </c>
      <c r="E289" s="363">
        <v>8.2100000000000009</v>
      </c>
      <c r="F289" s="363">
        <f t="shared" si="155"/>
        <v>-89550.534</v>
      </c>
      <c r="G289" s="363">
        <f t="shared" si="156"/>
        <v>169006.91400000002</v>
      </c>
      <c r="H289" s="364">
        <f t="shared" si="157"/>
        <v>-0.5298631392086125</v>
      </c>
      <c r="I289" s="363"/>
    </row>
    <row r="290" spans="2:9" x14ac:dyDescent="0.25">
      <c r="B290" s="620">
        <v>42429</v>
      </c>
      <c r="C290" s="362">
        <v>9178</v>
      </c>
      <c r="D290" s="621">
        <v>17.981000000000002</v>
      </c>
      <c r="E290" s="363">
        <v>8.2100000000000009</v>
      </c>
      <c r="F290" s="363">
        <f t="shared" si="155"/>
        <v>-89678.238000000012</v>
      </c>
      <c r="G290" s="363">
        <f t="shared" si="156"/>
        <v>165029.61800000002</v>
      </c>
      <c r="H290" s="364">
        <f t="shared" si="157"/>
        <v>-0.5434069295367332</v>
      </c>
      <c r="I290" s="363"/>
    </row>
    <row r="291" spans="2:9" x14ac:dyDescent="0.25">
      <c r="B291" s="620">
        <v>42429</v>
      </c>
      <c r="C291" s="362">
        <v>9678</v>
      </c>
      <c r="D291" s="621">
        <v>17.459</v>
      </c>
      <c r="E291" s="363">
        <v>8.2100000000000009</v>
      </c>
      <c r="F291" s="363">
        <f t="shared" si="155"/>
        <v>-89511.821999999986</v>
      </c>
      <c r="G291" s="363">
        <f t="shared" si="156"/>
        <v>168968.20199999999</v>
      </c>
      <c r="H291" s="364">
        <f t="shared" si="157"/>
        <v>-0.5297554270004009</v>
      </c>
      <c r="I291" s="363"/>
    </row>
    <row r="292" spans="2:9" x14ac:dyDescent="0.25">
      <c r="B292" s="620">
        <v>42429</v>
      </c>
      <c r="C292" s="362">
        <v>9178</v>
      </c>
      <c r="D292" s="621">
        <v>17.975999999999999</v>
      </c>
      <c r="E292" s="363">
        <v>8.2100000000000009</v>
      </c>
      <c r="F292" s="363">
        <f t="shared" ref="F292:F303" si="158">C292*(E292-D292)</f>
        <v>-89632.347999999984</v>
      </c>
      <c r="G292" s="363">
        <f t="shared" ref="G292:G303" si="159">IF(C292=0, 0,D292*C292)</f>
        <v>164983.728</v>
      </c>
      <c r="H292" s="364">
        <f t="shared" ref="H292:H343" si="160">IF(C292=0, D292, (E292-D292)/D292)</f>
        <v>-0.54327992879394738</v>
      </c>
      <c r="I292" s="363" t="s">
        <v>186</v>
      </c>
    </row>
    <row r="293" spans="2:9" x14ac:dyDescent="0.25">
      <c r="B293" s="620">
        <v>42430</v>
      </c>
      <c r="C293" s="383">
        <v>10178</v>
      </c>
      <c r="D293" s="622">
        <v>16.974</v>
      </c>
      <c r="E293" s="363">
        <v>7.8</v>
      </c>
      <c r="F293" s="363">
        <f t="shared" si="158"/>
        <v>-93372.971999999994</v>
      </c>
      <c r="G293" s="363">
        <f t="shared" si="159"/>
        <v>172761.372</v>
      </c>
      <c r="H293" s="364">
        <f t="shared" si="160"/>
        <v>-0.54047366560622123</v>
      </c>
      <c r="I293" s="363"/>
    </row>
    <row r="294" spans="2:9" x14ac:dyDescent="0.25">
      <c r="B294" s="620">
        <v>42430</v>
      </c>
      <c r="C294" s="383">
        <v>9678</v>
      </c>
      <c r="D294" s="622">
        <v>17.440000000000001</v>
      </c>
      <c r="E294" s="363">
        <v>7.96</v>
      </c>
      <c r="F294" s="363">
        <f t="shared" si="158"/>
        <v>-91747.44</v>
      </c>
      <c r="G294" s="363">
        <f t="shared" si="159"/>
        <v>168784.32</v>
      </c>
      <c r="H294" s="364">
        <f t="shared" si="160"/>
        <v>-0.54357798165137616</v>
      </c>
      <c r="I294" s="363"/>
    </row>
    <row r="295" spans="2:9" x14ac:dyDescent="0.25">
      <c r="B295" s="620">
        <v>42431</v>
      </c>
      <c r="C295" s="362">
        <v>8678</v>
      </c>
      <c r="D295" s="621">
        <v>18.405999999999999</v>
      </c>
      <c r="E295" s="363">
        <v>9.1</v>
      </c>
      <c r="F295" s="363">
        <f t="shared" si="158"/>
        <v>-80757.467999999993</v>
      </c>
      <c r="G295" s="363">
        <f t="shared" si="159"/>
        <v>159727.26799999998</v>
      </c>
      <c r="H295" s="365">
        <f t="shared" si="160"/>
        <v>-0.50559600130392257</v>
      </c>
      <c r="I295" s="363"/>
    </row>
    <row r="296" spans="2:9" x14ac:dyDescent="0.25">
      <c r="B296" s="620">
        <v>42432</v>
      </c>
      <c r="C296" s="362">
        <v>9278</v>
      </c>
      <c r="D296" s="621">
        <v>17.771999999999998</v>
      </c>
      <c r="E296" s="363">
        <v>9.9700000000000006</v>
      </c>
      <c r="F296" s="363">
        <f t="shared" si="158"/>
        <v>-72386.955999999976</v>
      </c>
      <c r="G296" s="363">
        <f t="shared" si="159"/>
        <v>164888.61599999998</v>
      </c>
      <c r="H296" s="365">
        <f t="shared" si="160"/>
        <v>-0.43900517668242173</v>
      </c>
      <c r="I296" s="363"/>
    </row>
    <row r="297" spans="2:9" x14ac:dyDescent="0.25">
      <c r="B297" s="620">
        <v>42433</v>
      </c>
      <c r="C297" s="362">
        <v>9278</v>
      </c>
      <c r="D297" s="621">
        <v>17.771999999999998</v>
      </c>
      <c r="E297" s="363">
        <v>11</v>
      </c>
      <c r="F297" s="363">
        <f t="shared" si="158"/>
        <v>-62830.615999999987</v>
      </c>
      <c r="G297" s="363">
        <f t="shared" si="159"/>
        <v>164888.61599999998</v>
      </c>
      <c r="H297" s="365">
        <f t="shared" si="160"/>
        <v>-0.38104884087328378</v>
      </c>
      <c r="I297" s="363"/>
    </row>
    <row r="298" spans="2:9" x14ac:dyDescent="0.25">
      <c r="B298" s="620">
        <v>42439</v>
      </c>
      <c r="C298" s="362">
        <v>9278</v>
      </c>
      <c r="D298" s="621">
        <v>17.718</v>
      </c>
      <c r="E298" s="363">
        <v>10.59</v>
      </c>
      <c r="F298" s="363">
        <f t="shared" si="158"/>
        <v>-66133.584000000003</v>
      </c>
      <c r="G298" s="363">
        <f t="shared" si="159"/>
        <v>164387.60399999999</v>
      </c>
      <c r="H298" s="365">
        <f t="shared" si="160"/>
        <v>-0.40230274297324753</v>
      </c>
      <c r="I298" s="363" t="s">
        <v>185</v>
      </c>
    </row>
    <row r="299" spans="2:9" x14ac:dyDescent="0.25">
      <c r="B299" s="620">
        <v>42440</v>
      </c>
      <c r="C299" s="362">
        <v>9278</v>
      </c>
      <c r="D299" s="621">
        <v>17.712</v>
      </c>
      <c r="E299" s="363">
        <v>11.12</v>
      </c>
      <c r="F299" s="363">
        <f t="shared" si="158"/>
        <v>-61160.576000000008</v>
      </c>
      <c r="G299" s="363">
        <f t="shared" si="159"/>
        <v>164331.93599999999</v>
      </c>
      <c r="H299" s="365">
        <f t="shared" si="160"/>
        <v>-0.37217705510388438</v>
      </c>
      <c r="I299" s="363"/>
    </row>
    <row r="300" spans="2:9" x14ac:dyDescent="0.25">
      <c r="B300" s="620">
        <v>42446</v>
      </c>
      <c r="C300" s="362">
        <v>9278</v>
      </c>
      <c r="D300" s="621">
        <v>17.704999999999998</v>
      </c>
      <c r="E300" s="363">
        <v>11.45</v>
      </c>
      <c r="F300" s="363">
        <f t="shared" si="158"/>
        <v>-58033.889999999992</v>
      </c>
      <c r="G300" s="363">
        <f t="shared" si="159"/>
        <v>164266.99</v>
      </c>
      <c r="H300" s="365">
        <f t="shared" si="160"/>
        <v>-0.353290031064671</v>
      </c>
      <c r="I300" s="363"/>
    </row>
    <row r="301" spans="2:9" x14ac:dyDescent="0.25">
      <c r="B301" s="620">
        <v>42447</v>
      </c>
      <c r="C301" s="362">
        <v>7928</v>
      </c>
      <c r="D301" s="621">
        <v>18.734999999999999</v>
      </c>
      <c r="E301" s="363">
        <v>11.63</v>
      </c>
      <c r="F301" s="363">
        <f t="shared" si="158"/>
        <v>-56328.439999999988</v>
      </c>
      <c r="G301" s="363">
        <f t="shared" si="159"/>
        <v>148531.07999999999</v>
      </c>
      <c r="H301" s="365">
        <f t="shared" si="160"/>
        <v>-0.37923672271150249</v>
      </c>
      <c r="I301" s="363"/>
    </row>
    <row r="302" spans="2:9" x14ac:dyDescent="0.25">
      <c r="B302" s="620">
        <v>42450</v>
      </c>
      <c r="C302" s="362">
        <v>9278</v>
      </c>
      <c r="D302" s="621">
        <v>17.670000000000002</v>
      </c>
      <c r="E302" s="363">
        <v>11.43</v>
      </c>
      <c r="F302" s="363">
        <f t="shared" si="158"/>
        <v>-57894.720000000016</v>
      </c>
      <c r="G302" s="363">
        <f t="shared" si="159"/>
        <v>163942.26</v>
      </c>
      <c r="H302" s="364">
        <f t="shared" si="160"/>
        <v>-0.35314091680814946</v>
      </c>
      <c r="I302" s="363"/>
    </row>
    <row r="303" spans="2:9" x14ac:dyDescent="0.25">
      <c r="B303" s="620">
        <v>42451</v>
      </c>
      <c r="C303" s="362">
        <v>9628</v>
      </c>
      <c r="D303" s="621">
        <v>17.428000000000001</v>
      </c>
      <c r="E303" s="363">
        <v>11.31</v>
      </c>
      <c r="F303" s="363">
        <f t="shared" si="158"/>
        <v>-58904.104000000007</v>
      </c>
      <c r="G303" s="363">
        <f t="shared" si="159"/>
        <v>167796.78400000001</v>
      </c>
      <c r="H303" s="364">
        <f t="shared" si="160"/>
        <v>-0.35104429653431263</v>
      </c>
      <c r="I303" s="363"/>
    </row>
    <row r="304" spans="2:9" x14ac:dyDescent="0.25">
      <c r="B304" s="620">
        <v>42453</v>
      </c>
      <c r="C304" s="362">
        <v>13278</v>
      </c>
      <c r="D304" s="621">
        <v>15.5565</v>
      </c>
      <c r="E304" s="363">
        <v>10.29</v>
      </c>
      <c r="F304" s="363">
        <f t="shared" ref="F304:F343" si="161">C304*(E304-D304)</f>
        <v>-69928.587000000014</v>
      </c>
      <c r="G304" s="363">
        <f t="shared" ref="G304:G343" si="162">IF(C304=0, 0,D304*C304)</f>
        <v>206559.20699999999</v>
      </c>
      <c r="H304" s="364">
        <f t="shared" si="160"/>
        <v>-0.33854016006171056</v>
      </c>
      <c r="I304" s="363"/>
    </row>
    <row r="305" spans="2:14" x14ac:dyDescent="0.25">
      <c r="B305" s="620">
        <v>42459</v>
      </c>
      <c r="C305" s="362">
        <v>11278</v>
      </c>
      <c r="D305" s="621">
        <v>16.408899999999999</v>
      </c>
      <c r="E305" s="363">
        <v>10.53</v>
      </c>
      <c r="F305" s="363">
        <f t="shared" si="161"/>
        <v>-66302.234199999992</v>
      </c>
      <c r="G305" s="363">
        <f t="shared" si="162"/>
        <v>185059.5742</v>
      </c>
      <c r="H305" s="364">
        <f t="shared" si="160"/>
        <v>-0.35827508242478168</v>
      </c>
      <c r="I305" s="363"/>
    </row>
    <row r="306" spans="2:14" x14ac:dyDescent="0.25">
      <c r="B306" s="620">
        <v>42460</v>
      </c>
      <c r="C306" s="362">
        <v>9678</v>
      </c>
      <c r="D306" s="621">
        <v>17.311699999999998</v>
      </c>
      <c r="E306" s="363">
        <v>11.14</v>
      </c>
      <c r="F306" s="363">
        <f t="shared" si="161"/>
        <v>-59729.712599999977</v>
      </c>
      <c r="G306" s="363">
        <f t="shared" si="162"/>
        <v>167542.63259999998</v>
      </c>
      <c r="H306" s="364">
        <f t="shared" si="160"/>
        <v>-0.35650456049954643</v>
      </c>
      <c r="I306" s="363"/>
    </row>
    <row r="307" spans="2:14" x14ac:dyDescent="0.25">
      <c r="B307" s="620">
        <v>42461</v>
      </c>
      <c r="C307" s="362">
        <v>11678</v>
      </c>
      <c r="D307" s="621">
        <v>16.116</v>
      </c>
      <c r="E307" s="363">
        <v>10.53</v>
      </c>
      <c r="F307" s="363">
        <f t="shared" si="161"/>
        <v>-65233.308000000005</v>
      </c>
      <c r="G307" s="363">
        <f t="shared" si="162"/>
        <v>188202.64799999999</v>
      </c>
      <c r="H307" s="364">
        <f t="shared" si="160"/>
        <v>-0.34661206254653765</v>
      </c>
      <c r="I307" s="363"/>
    </row>
    <row r="308" spans="2:14" x14ac:dyDescent="0.25">
      <c r="B308" s="620">
        <v>42461</v>
      </c>
      <c r="C308" s="362">
        <v>9678</v>
      </c>
      <c r="D308" s="621">
        <v>17.266200000000001</v>
      </c>
      <c r="E308" s="363">
        <v>10.56</v>
      </c>
      <c r="F308" s="363">
        <f t="shared" si="161"/>
        <v>-64902.603600000009</v>
      </c>
      <c r="G308" s="363">
        <f t="shared" si="162"/>
        <v>167102.28360000002</v>
      </c>
      <c r="H308" s="364">
        <f t="shared" si="160"/>
        <v>-0.388400458699656</v>
      </c>
      <c r="I308" s="363"/>
    </row>
    <row r="309" spans="2:14" x14ac:dyDescent="0.25">
      <c r="B309" s="620">
        <v>42464</v>
      </c>
      <c r="C309" s="362">
        <v>9778</v>
      </c>
      <c r="D309" s="621">
        <v>17.196100000000001</v>
      </c>
      <c r="E309" s="363">
        <v>10.4</v>
      </c>
      <c r="F309" s="363">
        <f t="shared" si="161"/>
        <v>-66452.265800000008</v>
      </c>
      <c r="G309" s="363">
        <f t="shared" si="162"/>
        <v>168143.46580000001</v>
      </c>
      <c r="H309" s="364">
        <f t="shared" si="160"/>
        <v>-0.3952117049796175</v>
      </c>
      <c r="I309" s="363"/>
    </row>
    <row r="310" spans="2:14" x14ac:dyDescent="0.25">
      <c r="B310" s="620">
        <v>42465</v>
      </c>
      <c r="C310" s="362">
        <v>9678</v>
      </c>
      <c r="D310" s="621">
        <v>17.262699999999999</v>
      </c>
      <c r="E310" s="363">
        <v>10.63</v>
      </c>
      <c r="F310" s="363">
        <f t="shared" si="161"/>
        <v>-64191.270599999982</v>
      </c>
      <c r="G310" s="363">
        <f t="shared" si="162"/>
        <v>167068.4106</v>
      </c>
      <c r="H310" s="364">
        <f t="shared" si="160"/>
        <v>-0.38422147172806098</v>
      </c>
      <c r="I310" s="363"/>
    </row>
    <row r="311" spans="2:14" x14ac:dyDescent="0.25">
      <c r="B311" s="620">
        <v>42469</v>
      </c>
      <c r="C311" s="362">
        <v>8678</v>
      </c>
      <c r="D311" s="621">
        <v>17.895700000000001</v>
      </c>
      <c r="E311" s="363">
        <v>11.78</v>
      </c>
      <c r="F311" s="363">
        <f t="shared" si="161"/>
        <v>-53072.044600000016</v>
      </c>
      <c r="G311" s="363">
        <f t="shared" si="162"/>
        <v>155298.88460000002</v>
      </c>
      <c r="H311" s="364">
        <f t="shared" si="160"/>
        <v>-0.34174131215878684</v>
      </c>
      <c r="I311" s="363"/>
      <c r="N311" s="70"/>
    </row>
    <row r="312" spans="2:14" x14ac:dyDescent="0.25">
      <c r="B312" s="620">
        <v>42471</v>
      </c>
      <c r="C312" s="362">
        <v>9678</v>
      </c>
      <c r="D312" s="621">
        <v>17.2514</v>
      </c>
      <c r="E312" s="363">
        <v>11.67</v>
      </c>
      <c r="F312" s="363">
        <f t="shared" si="161"/>
        <v>-54016.789200000007</v>
      </c>
      <c r="G312" s="363">
        <f t="shared" si="162"/>
        <v>166959.04920000001</v>
      </c>
      <c r="H312" s="364">
        <f t="shared" si="160"/>
        <v>-0.32353316252593994</v>
      </c>
      <c r="I312" s="363"/>
    </row>
    <row r="313" spans="2:14" x14ac:dyDescent="0.25">
      <c r="B313" s="620">
        <v>42472</v>
      </c>
      <c r="C313" s="362">
        <v>8288</v>
      </c>
      <c r="D313" s="621">
        <v>17.96</v>
      </c>
      <c r="E313" s="363">
        <v>13.05</v>
      </c>
      <c r="F313" s="363">
        <f t="shared" si="161"/>
        <v>-40694.080000000002</v>
      </c>
      <c r="G313" s="363">
        <f t="shared" si="162"/>
        <v>148852.48000000001</v>
      </c>
      <c r="H313" s="364">
        <f t="shared" si="160"/>
        <v>-0.27338530066815142</v>
      </c>
      <c r="I313" s="363"/>
    </row>
    <row r="314" spans="2:14" x14ac:dyDescent="0.25">
      <c r="B314" s="620">
        <v>42473</v>
      </c>
      <c r="C314" s="362">
        <v>9258</v>
      </c>
      <c r="D314" s="621">
        <v>17.415800000000001</v>
      </c>
      <c r="E314" s="363">
        <v>12.92</v>
      </c>
      <c r="F314" s="363">
        <f t="shared" si="161"/>
        <v>-41622.116400000006</v>
      </c>
      <c r="G314" s="363">
        <f t="shared" si="162"/>
        <v>161235.47640000001</v>
      </c>
      <c r="H314" s="364">
        <f t="shared" si="160"/>
        <v>-0.2581449029042594</v>
      </c>
      <c r="I314" s="363"/>
    </row>
    <row r="315" spans="2:14" x14ac:dyDescent="0.25">
      <c r="B315" s="620">
        <v>42474</v>
      </c>
      <c r="C315" s="362">
        <v>9678</v>
      </c>
      <c r="D315" s="621">
        <v>17.2135</v>
      </c>
      <c r="E315" s="363">
        <v>13.11</v>
      </c>
      <c r="F315" s="363">
        <f t="shared" si="161"/>
        <v>-39713.673000000003</v>
      </c>
      <c r="G315" s="363">
        <f t="shared" si="162"/>
        <v>166592.253</v>
      </c>
      <c r="H315" s="364">
        <f t="shared" si="160"/>
        <v>-0.23838847416272113</v>
      </c>
      <c r="I315" s="363"/>
    </row>
    <row r="316" spans="2:14" x14ac:dyDescent="0.25">
      <c r="B316" s="620">
        <v>42474</v>
      </c>
      <c r="C316" s="362">
        <v>9178</v>
      </c>
      <c r="D316" s="621">
        <v>17.433299999999999</v>
      </c>
      <c r="E316" s="363">
        <v>13.11</v>
      </c>
      <c r="F316" s="363">
        <f t="shared" si="161"/>
        <v>-39679.2474</v>
      </c>
      <c r="G316" s="363">
        <f t="shared" si="162"/>
        <v>160002.82739999998</v>
      </c>
      <c r="H316" s="364">
        <f t="shared" si="160"/>
        <v>-0.24799091394056202</v>
      </c>
      <c r="I316" s="363"/>
    </row>
    <row r="317" spans="2:14" x14ac:dyDescent="0.25">
      <c r="B317" s="620">
        <v>42475</v>
      </c>
      <c r="C317" s="362">
        <v>9678</v>
      </c>
      <c r="D317" s="621">
        <v>17.205100000000002</v>
      </c>
      <c r="E317" s="363">
        <v>13.01</v>
      </c>
      <c r="F317" s="363">
        <f t="shared" si="161"/>
        <v>-40600.177800000019</v>
      </c>
      <c r="G317" s="363">
        <f t="shared" si="162"/>
        <v>166510.9578</v>
      </c>
      <c r="H317" s="364">
        <f t="shared" si="160"/>
        <v>-0.24382886469709572</v>
      </c>
      <c r="I317" s="363"/>
    </row>
    <row r="318" spans="2:14" x14ac:dyDescent="0.25">
      <c r="B318" s="620">
        <v>42478</v>
      </c>
      <c r="C318" s="362">
        <v>9178</v>
      </c>
      <c r="D318" s="621">
        <v>17.412400000000002</v>
      </c>
      <c r="E318" s="363">
        <v>13.36</v>
      </c>
      <c r="F318" s="363">
        <f t="shared" si="161"/>
        <v>-37192.92720000002</v>
      </c>
      <c r="G318" s="363">
        <f t="shared" si="162"/>
        <v>159811.00720000002</v>
      </c>
      <c r="H318" s="364">
        <f t="shared" si="160"/>
        <v>-0.232730697663734</v>
      </c>
      <c r="I318" s="363"/>
    </row>
    <row r="319" spans="2:14" x14ac:dyDescent="0.25">
      <c r="B319" s="620">
        <v>42484</v>
      </c>
      <c r="C319" s="383">
        <v>9178</v>
      </c>
      <c r="D319" s="622">
        <v>17.412400000000002</v>
      </c>
      <c r="E319" s="363">
        <v>14.34</v>
      </c>
      <c r="F319" s="363">
        <f t="shared" si="161"/>
        <v>-28198.487200000018</v>
      </c>
      <c r="G319" s="363">
        <f t="shared" si="162"/>
        <v>159811.00720000002</v>
      </c>
      <c r="H319" s="364">
        <f t="shared" si="160"/>
        <v>-0.17644896740254082</v>
      </c>
      <c r="I319" s="363"/>
    </row>
    <row r="320" spans="2:14" x14ac:dyDescent="0.25">
      <c r="B320" s="620">
        <v>42485</v>
      </c>
      <c r="C320" s="383">
        <v>9678</v>
      </c>
      <c r="D320" s="622">
        <v>17.233499999999999</v>
      </c>
      <c r="E320" s="363">
        <v>13.83</v>
      </c>
      <c r="F320" s="363">
        <f t="shared" si="161"/>
        <v>-32939.072999999997</v>
      </c>
      <c r="G320" s="363">
        <f t="shared" si="162"/>
        <v>166785.81299999999</v>
      </c>
      <c r="H320" s="364">
        <f t="shared" si="160"/>
        <v>-0.19749325441726867</v>
      </c>
      <c r="I320" s="363"/>
    </row>
    <row r="321" spans="2:14" ht="15" customHeight="1" x14ac:dyDescent="0.25">
      <c r="B321" s="620">
        <v>42486</v>
      </c>
      <c r="C321" s="362">
        <v>9178</v>
      </c>
      <c r="D321" s="621">
        <v>17.390599999999999</v>
      </c>
      <c r="E321" s="363">
        <v>14.44</v>
      </c>
      <c r="F321" s="363">
        <f t="shared" si="161"/>
        <v>-27080.606799999998</v>
      </c>
      <c r="G321" s="363">
        <f t="shared" si="162"/>
        <v>159610.92679999999</v>
      </c>
      <c r="H321" s="365">
        <f t="shared" si="160"/>
        <v>-0.16966637148804525</v>
      </c>
      <c r="I321" s="363"/>
    </row>
    <row r="322" spans="2:14" x14ac:dyDescent="0.25">
      <c r="B322" s="620">
        <v>42487</v>
      </c>
      <c r="C322" s="362">
        <v>9178</v>
      </c>
      <c r="D322" s="621">
        <v>17.376300000000001</v>
      </c>
      <c r="E322" s="363">
        <v>14.84</v>
      </c>
      <c r="F322" s="363">
        <f t="shared" si="161"/>
        <v>-23278.161400000005</v>
      </c>
      <c r="G322" s="363">
        <f t="shared" si="162"/>
        <v>159479.6814</v>
      </c>
      <c r="H322" s="365">
        <f t="shared" si="160"/>
        <v>-0.14596317973331496</v>
      </c>
      <c r="I322" s="363"/>
    </row>
    <row r="323" spans="2:14" x14ac:dyDescent="0.25">
      <c r="B323" s="620">
        <v>42488</v>
      </c>
      <c r="C323" s="362">
        <v>9678</v>
      </c>
      <c r="D323" s="621">
        <v>17.2287</v>
      </c>
      <c r="E323" s="363">
        <v>14.35</v>
      </c>
      <c r="F323" s="363">
        <f t="shared" si="161"/>
        <v>-27860.058600000004</v>
      </c>
      <c r="G323" s="363">
        <f t="shared" si="162"/>
        <v>166739.35860000001</v>
      </c>
      <c r="H323" s="365">
        <f t="shared" si="160"/>
        <v>-0.16708747612994598</v>
      </c>
      <c r="I323" s="363"/>
    </row>
    <row r="324" spans="2:14" x14ac:dyDescent="0.25">
      <c r="B324" s="620">
        <v>42489</v>
      </c>
      <c r="C324" s="362">
        <v>9678</v>
      </c>
      <c r="D324" s="621">
        <v>17.179200000000002</v>
      </c>
      <c r="E324" s="363">
        <v>14.09</v>
      </c>
      <c r="F324" s="363">
        <f t="shared" si="161"/>
        <v>-29897.277600000016</v>
      </c>
      <c r="G324" s="363">
        <f t="shared" si="162"/>
        <v>166260.29760000002</v>
      </c>
      <c r="H324" s="365">
        <f t="shared" si="160"/>
        <v>-0.17982211045916</v>
      </c>
      <c r="I324" s="363"/>
    </row>
    <row r="325" spans="2:14" x14ac:dyDescent="0.25">
      <c r="B325" s="620">
        <v>42492</v>
      </c>
      <c r="C325" s="362">
        <v>9678</v>
      </c>
      <c r="D325" s="621">
        <v>17.136399999999998</v>
      </c>
      <c r="E325" s="363">
        <v>13.55</v>
      </c>
      <c r="F325" s="363">
        <f t="shared" si="161"/>
        <v>-34709.179199999977</v>
      </c>
      <c r="G325" s="363">
        <f t="shared" si="162"/>
        <v>165846.07919999998</v>
      </c>
      <c r="H325" s="365">
        <f t="shared" si="160"/>
        <v>-0.20928549753740563</v>
      </c>
      <c r="I325" s="363"/>
    </row>
    <row r="326" spans="2:14" x14ac:dyDescent="0.25">
      <c r="B326" s="620">
        <v>42493</v>
      </c>
      <c r="C326" s="362">
        <v>9678</v>
      </c>
      <c r="D326" s="621">
        <v>17.1221</v>
      </c>
      <c r="E326" s="363">
        <v>12.79</v>
      </c>
      <c r="F326" s="363">
        <f t="shared" si="161"/>
        <v>-41926.063800000004</v>
      </c>
      <c r="G326" s="363">
        <f t="shared" si="162"/>
        <v>165707.6838</v>
      </c>
      <c r="H326" s="365">
        <f t="shared" si="160"/>
        <v>-0.25301218892542388</v>
      </c>
      <c r="I326" s="363"/>
    </row>
    <row r="327" spans="2:14" x14ac:dyDescent="0.25">
      <c r="B327" s="620">
        <v>42494</v>
      </c>
      <c r="C327" s="362">
        <v>11678</v>
      </c>
      <c r="D327" s="621">
        <v>16.316800000000001</v>
      </c>
      <c r="E327" s="363">
        <v>12.17</v>
      </c>
      <c r="F327" s="363">
        <f t="shared" si="161"/>
        <v>-48426.330400000006</v>
      </c>
      <c r="G327" s="363">
        <f t="shared" si="162"/>
        <v>190547.59040000002</v>
      </c>
      <c r="H327" s="365">
        <f t="shared" si="160"/>
        <v>-0.25414296920964896</v>
      </c>
      <c r="I327" s="363"/>
    </row>
    <row r="328" spans="2:14" x14ac:dyDescent="0.25">
      <c r="B328" s="620">
        <v>42495</v>
      </c>
      <c r="C328" s="362">
        <v>9678</v>
      </c>
      <c r="D328" s="621">
        <v>17.0684</v>
      </c>
      <c r="E328" s="363">
        <v>12.07</v>
      </c>
      <c r="F328" s="363">
        <f t="shared" si="161"/>
        <v>-48374.515200000002</v>
      </c>
      <c r="G328" s="363">
        <f t="shared" si="162"/>
        <v>165187.97520000002</v>
      </c>
      <c r="H328" s="364">
        <f t="shared" si="160"/>
        <v>-0.29284525790349419</v>
      </c>
      <c r="I328" s="363"/>
    </row>
    <row r="329" spans="2:14" x14ac:dyDescent="0.25">
      <c r="B329" s="620">
        <v>42499</v>
      </c>
      <c r="C329" s="362">
        <v>10678</v>
      </c>
      <c r="D329" s="621">
        <v>16.537600000000001</v>
      </c>
      <c r="E329" s="363">
        <v>11.44</v>
      </c>
      <c r="F329" s="363">
        <f t="shared" si="161"/>
        <v>-54432.172800000015</v>
      </c>
      <c r="G329" s="363">
        <f t="shared" si="162"/>
        <v>176588.49280000001</v>
      </c>
      <c r="H329" s="364">
        <f t="shared" si="160"/>
        <v>-0.30824303405572762</v>
      </c>
      <c r="I329" s="363"/>
      <c r="N329" s="70"/>
    </row>
    <row r="330" spans="2:14" x14ac:dyDescent="0.25">
      <c r="B330" s="620">
        <v>42500</v>
      </c>
      <c r="C330" s="362">
        <v>9678</v>
      </c>
      <c r="D330" s="621">
        <v>17.042100000000001</v>
      </c>
      <c r="E330" s="363">
        <v>11.94</v>
      </c>
      <c r="F330" s="363">
        <f t="shared" si="161"/>
        <v>-49378.123800000016</v>
      </c>
      <c r="G330" s="363">
        <f t="shared" si="162"/>
        <v>164933.44380000001</v>
      </c>
      <c r="H330" s="364">
        <f t="shared" si="160"/>
        <v>-0.2993821184009014</v>
      </c>
      <c r="I330" s="363"/>
    </row>
    <row r="331" spans="2:14" x14ac:dyDescent="0.25">
      <c r="B331" s="620">
        <v>42502</v>
      </c>
      <c r="C331" s="362">
        <v>10678</v>
      </c>
      <c r="D331" s="621">
        <v>16.601800000000001</v>
      </c>
      <c r="E331" s="363">
        <v>12.33</v>
      </c>
      <c r="F331" s="363">
        <f t="shared" si="161"/>
        <v>-45614.280400000011</v>
      </c>
      <c r="G331" s="363">
        <f t="shared" si="162"/>
        <v>177274.02040000001</v>
      </c>
      <c r="H331" s="364">
        <f t="shared" si="160"/>
        <v>-0.25730944837306802</v>
      </c>
      <c r="I331" s="363"/>
    </row>
    <row r="332" spans="2:14" x14ac:dyDescent="0.25">
      <c r="B332" s="620">
        <v>42502</v>
      </c>
      <c r="C332" s="362">
        <v>9678</v>
      </c>
      <c r="D332" s="621">
        <v>17.0334</v>
      </c>
      <c r="E332" s="363">
        <v>12.33</v>
      </c>
      <c r="F332" s="363">
        <f t="shared" si="161"/>
        <v>-45519.5052</v>
      </c>
      <c r="G332" s="363">
        <f t="shared" si="162"/>
        <v>164849.2452</v>
      </c>
      <c r="H332" s="364">
        <f t="shared" si="160"/>
        <v>-0.27612807777660364</v>
      </c>
      <c r="I332" s="363"/>
    </row>
    <row r="333" spans="2:14" x14ac:dyDescent="0.25">
      <c r="B333" s="620">
        <v>42503</v>
      </c>
      <c r="C333" s="362">
        <v>9678</v>
      </c>
      <c r="D333" s="621">
        <v>17.029299999999999</v>
      </c>
      <c r="E333" s="363">
        <v>12.3</v>
      </c>
      <c r="F333" s="363">
        <f t="shared" si="161"/>
        <v>-45770.165399999983</v>
      </c>
      <c r="G333" s="363">
        <f t="shared" si="162"/>
        <v>164809.56539999999</v>
      </c>
      <c r="H333" s="364">
        <f t="shared" si="160"/>
        <v>-0.27771546687180321</v>
      </c>
      <c r="I333" s="363"/>
    </row>
    <row r="334" spans="2:14" x14ac:dyDescent="0.25">
      <c r="B334" s="620">
        <v>42506</v>
      </c>
      <c r="C334" s="362">
        <v>9678</v>
      </c>
      <c r="D334" s="621">
        <v>17.027699999999999</v>
      </c>
      <c r="E334" s="363">
        <v>12.78</v>
      </c>
      <c r="F334" s="363">
        <f t="shared" si="161"/>
        <v>-41109.240599999997</v>
      </c>
      <c r="G334" s="363">
        <f t="shared" si="162"/>
        <v>164794.08059999999</v>
      </c>
      <c r="H334" s="364">
        <f t="shared" si="160"/>
        <v>-0.24945823569830336</v>
      </c>
      <c r="I334" s="363"/>
    </row>
    <row r="335" spans="2:14" x14ac:dyDescent="0.25">
      <c r="B335" s="620">
        <v>42513</v>
      </c>
      <c r="C335" s="362">
        <v>9178</v>
      </c>
      <c r="D335" s="621">
        <v>17.244399999999999</v>
      </c>
      <c r="E335" s="363">
        <v>13.19</v>
      </c>
      <c r="F335" s="363">
        <f t="shared" si="161"/>
        <v>-37211.283199999991</v>
      </c>
      <c r="G335" s="363">
        <f t="shared" si="162"/>
        <v>158269.10319999998</v>
      </c>
      <c r="H335" s="364">
        <f t="shared" si="160"/>
        <v>-0.23511400802579385</v>
      </c>
      <c r="I335" s="363"/>
    </row>
    <row r="336" spans="2:14" x14ac:dyDescent="0.25">
      <c r="B336" s="620">
        <v>42514</v>
      </c>
      <c r="C336" s="362">
        <v>9678</v>
      </c>
      <c r="D336" s="621">
        <v>17.026</v>
      </c>
      <c r="E336" s="363">
        <v>13.02</v>
      </c>
      <c r="F336" s="363">
        <f t="shared" si="161"/>
        <v>-38770.067999999999</v>
      </c>
      <c r="G336" s="363">
        <f t="shared" si="162"/>
        <v>164777.628</v>
      </c>
      <c r="H336" s="364">
        <f t="shared" si="160"/>
        <v>-0.23528720779983556</v>
      </c>
      <c r="I336" s="363"/>
    </row>
    <row r="337" spans="2:9" x14ac:dyDescent="0.25">
      <c r="B337" s="620">
        <v>42515</v>
      </c>
      <c r="C337" s="362">
        <v>9178</v>
      </c>
      <c r="D337" s="621">
        <v>17.206800000000001</v>
      </c>
      <c r="E337" s="363">
        <v>13.54</v>
      </c>
      <c r="F337" s="363">
        <f t="shared" si="161"/>
        <v>-33653.890400000018</v>
      </c>
      <c r="G337" s="363">
        <f t="shared" si="162"/>
        <v>157924.0104</v>
      </c>
      <c r="H337" s="364">
        <f t="shared" si="160"/>
        <v>-0.21310179696399109</v>
      </c>
      <c r="I337" s="363"/>
    </row>
    <row r="338" spans="2:9" x14ac:dyDescent="0.25">
      <c r="B338" s="620">
        <v>42516</v>
      </c>
      <c r="C338" s="362">
        <v>9678</v>
      </c>
      <c r="D338" s="621">
        <v>17.003799999999998</v>
      </c>
      <c r="E338" s="363">
        <v>13.17</v>
      </c>
      <c r="F338" s="363">
        <f t="shared" si="161"/>
        <v>-37103.516399999986</v>
      </c>
      <c r="G338" s="363">
        <f t="shared" si="162"/>
        <v>164562.77639999997</v>
      </c>
      <c r="H338" s="364">
        <f t="shared" si="160"/>
        <v>-0.22546724849739463</v>
      </c>
      <c r="I338" s="363"/>
    </row>
    <row r="339" spans="2:9" x14ac:dyDescent="0.25">
      <c r="B339" s="620">
        <v>42517</v>
      </c>
      <c r="C339" s="362">
        <v>9678</v>
      </c>
      <c r="D339" s="621">
        <v>16.999700000000001</v>
      </c>
      <c r="E339" s="363">
        <v>12.9</v>
      </c>
      <c r="F339" s="363">
        <f t="shared" si="161"/>
        <v>-39676.8966</v>
      </c>
      <c r="G339" s="363">
        <f t="shared" si="162"/>
        <v>164523.09660000002</v>
      </c>
      <c r="H339" s="364">
        <f t="shared" si="160"/>
        <v>-0.2411630793484591</v>
      </c>
      <c r="I339" s="363"/>
    </row>
    <row r="340" spans="2:9" x14ac:dyDescent="0.25">
      <c r="B340" s="620">
        <v>42525</v>
      </c>
      <c r="C340" s="362">
        <v>9678</v>
      </c>
      <c r="D340" s="621">
        <v>16.9956</v>
      </c>
      <c r="E340" s="363">
        <v>13.32</v>
      </c>
      <c r="F340" s="363">
        <f t="shared" si="161"/>
        <v>-35572.456799999993</v>
      </c>
      <c r="G340" s="363">
        <f t="shared" si="162"/>
        <v>164483.41680000001</v>
      </c>
      <c r="H340" s="364">
        <f t="shared" si="160"/>
        <v>-0.21626773988561743</v>
      </c>
      <c r="I340" s="363"/>
    </row>
    <row r="341" spans="2:9" x14ac:dyDescent="0.25">
      <c r="B341" s="620">
        <v>42527</v>
      </c>
      <c r="C341" s="362">
        <v>8178</v>
      </c>
      <c r="D341" s="621">
        <v>17.568999999999999</v>
      </c>
      <c r="E341" s="363">
        <v>13.96</v>
      </c>
      <c r="F341" s="363">
        <f t="shared" si="161"/>
        <v>-29514.401999999984</v>
      </c>
      <c r="G341" s="363">
        <f t="shared" si="162"/>
        <v>143679.28200000001</v>
      </c>
      <c r="H341" s="364">
        <f t="shared" si="160"/>
        <v>-0.20541863509590746</v>
      </c>
      <c r="I341" s="363"/>
    </row>
    <row r="342" spans="2:9" x14ac:dyDescent="0.25">
      <c r="B342" s="620">
        <v>42528</v>
      </c>
      <c r="C342" s="362">
        <v>7678</v>
      </c>
      <c r="D342" s="621">
        <v>17.759599999999999</v>
      </c>
      <c r="E342" s="363">
        <v>14.62</v>
      </c>
      <c r="F342" s="363">
        <f t="shared" si="161"/>
        <v>-24105.848799999996</v>
      </c>
      <c r="G342" s="363">
        <f t="shared" si="162"/>
        <v>136358.20879999999</v>
      </c>
      <c r="H342" s="364">
        <f t="shared" si="160"/>
        <v>-0.17678326088425414</v>
      </c>
      <c r="I342" s="363"/>
    </row>
    <row r="343" spans="2:9" x14ac:dyDescent="0.25">
      <c r="B343" s="620">
        <v>42529</v>
      </c>
      <c r="C343" s="362">
        <v>8178</v>
      </c>
      <c r="D343" s="621">
        <v>17.5654</v>
      </c>
      <c r="E343" s="363">
        <v>14.53</v>
      </c>
      <c r="F343" s="363">
        <f t="shared" si="161"/>
        <v>-24823.50120000001</v>
      </c>
      <c r="G343" s="363">
        <f t="shared" si="162"/>
        <v>143649.8412</v>
      </c>
      <c r="H343" s="364">
        <f t="shared" si="160"/>
        <v>-0.17280562924840887</v>
      </c>
      <c r="I343" s="363"/>
    </row>
    <row r="344" spans="2:9" x14ac:dyDescent="0.25">
      <c r="B344" s="620">
        <v>42531</v>
      </c>
      <c r="C344" s="362">
        <v>8978</v>
      </c>
      <c r="D344" s="621">
        <v>17.1751</v>
      </c>
      <c r="E344" s="363">
        <v>13.42</v>
      </c>
      <c r="F344" s="363">
        <f t="shared" ref="F344:F352" si="163">C344*(E344-D344)</f>
        <v>-33713.287800000006</v>
      </c>
      <c r="G344" s="363">
        <f t="shared" ref="G344:G352" si="164">IF(C344=0, 0,D344*C344)</f>
        <v>154198.0478</v>
      </c>
      <c r="H344" s="364">
        <f t="shared" ref="H344:H352" si="165">IF(C344=0, D344, (E344-D344)/D344)</f>
        <v>-0.21863628159370255</v>
      </c>
      <c r="I344" s="363"/>
    </row>
    <row r="345" spans="2:9" x14ac:dyDescent="0.25">
      <c r="B345" s="620">
        <v>42531</v>
      </c>
      <c r="C345" s="383">
        <v>9278</v>
      </c>
      <c r="D345" s="622">
        <v>17.1052</v>
      </c>
      <c r="E345" s="363">
        <v>13.42</v>
      </c>
      <c r="F345" s="363">
        <f t="shared" si="163"/>
        <v>-34191.285600000003</v>
      </c>
      <c r="G345" s="363">
        <f t="shared" si="164"/>
        <v>158702.04560000001</v>
      </c>
      <c r="H345" s="364">
        <f t="shared" si="165"/>
        <v>-0.21544325702125669</v>
      </c>
      <c r="I345" s="363"/>
    </row>
    <row r="346" spans="2:9" x14ac:dyDescent="0.25">
      <c r="B346" s="620">
        <v>42532</v>
      </c>
      <c r="C346" s="362">
        <v>9278</v>
      </c>
      <c r="D346" s="621">
        <v>17.053000000000001</v>
      </c>
      <c r="E346" s="363">
        <v>13.42</v>
      </c>
      <c r="F346" s="363">
        <f t="shared" si="163"/>
        <v>-33706.974000000009</v>
      </c>
      <c r="G346" s="363">
        <f t="shared" si="164"/>
        <v>158217.734</v>
      </c>
      <c r="H346" s="364">
        <f t="shared" si="165"/>
        <v>-0.21304169354365804</v>
      </c>
      <c r="I346" s="363" t="s">
        <v>182</v>
      </c>
    </row>
    <row r="347" spans="2:9" x14ac:dyDescent="0.25">
      <c r="B347" s="620">
        <v>42535</v>
      </c>
      <c r="C347" s="362">
        <v>9678</v>
      </c>
      <c r="D347" s="621">
        <v>16.879300000000001</v>
      </c>
      <c r="E347" s="363">
        <v>13.23</v>
      </c>
      <c r="F347" s="363">
        <f t="shared" si="163"/>
        <v>-35317.9254</v>
      </c>
      <c r="G347" s="363">
        <f t="shared" si="164"/>
        <v>163357.86540000001</v>
      </c>
      <c r="H347" s="364">
        <f t="shared" si="165"/>
        <v>-0.21619972392220058</v>
      </c>
      <c r="I347" s="363" t="s">
        <v>217</v>
      </c>
    </row>
    <row r="348" spans="2:9" x14ac:dyDescent="0.25">
      <c r="B348" s="620">
        <v>42536</v>
      </c>
      <c r="C348" s="362">
        <v>9278</v>
      </c>
      <c r="D348" s="621">
        <v>17.027999999999999</v>
      </c>
      <c r="E348" s="363">
        <v>13.06</v>
      </c>
      <c r="F348" s="363">
        <f t="shared" si="163"/>
        <v>-36815.103999999985</v>
      </c>
      <c r="G348" s="363">
        <f t="shared" si="164"/>
        <v>157985.78399999999</v>
      </c>
      <c r="H348" s="364">
        <f t="shared" si="165"/>
        <v>-0.23302795395818643</v>
      </c>
      <c r="I348" s="363"/>
    </row>
    <row r="349" spans="2:9" x14ac:dyDescent="0.25">
      <c r="B349" s="620">
        <v>42537</v>
      </c>
      <c r="C349" s="383">
        <v>9278</v>
      </c>
      <c r="D349" s="622">
        <v>17.0168</v>
      </c>
      <c r="E349" s="363">
        <v>12.67</v>
      </c>
      <c r="F349" s="363">
        <f t="shared" si="163"/>
        <v>-40329.610399999998</v>
      </c>
      <c r="G349" s="363">
        <f t="shared" si="164"/>
        <v>157881.87039999999</v>
      </c>
      <c r="H349" s="364">
        <f t="shared" si="165"/>
        <v>-0.25544168116214566</v>
      </c>
      <c r="I349" s="363"/>
    </row>
    <row r="350" spans="2:9" x14ac:dyDescent="0.25">
      <c r="B350" s="620">
        <v>42538</v>
      </c>
      <c r="C350" s="383">
        <v>9278</v>
      </c>
      <c r="D350" s="622">
        <v>17.0061</v>
      </c>
      <c r="E350" s="363">
        <v>13.16</v>
      </c>
      <c r="F350" s="363">
        <f t="shared" si="163"/>
        <v>-35684.1158</v>
      </c>
      <c r="G350" s="363">
        <f t="shared" si="164"/>
        <v>157782.59580000001</v>
      </c>
      <c r="H350" s="364">
        <f t="shared" si="165"/>
        <v>-0.2261600249322302</v>
      </c>
      <c r="I350" s="363"/>
    </row>
    <row r="351" spans="2:9" x14ac:dyDescent="0.25">
      <c r="B351" s="620">
        <v>42541</v>
      </c>
      <c r="C351" s="362">
        <v>7678</v>
      </c>
      <c r="D351" s="621">
        <v>17.568000000000001</v>
      </c>
      <c r="E351" s="363">
        <v>14.48</v>
      </c>
      <c r="F351" s="363">
        <f t="shared" si="163"/>
        <v>-23709.664000000008</v>
      </c>
      <c r="G351" s="363">
        <f t="shared" si="164"/>
        <v>134887.10400000002</v>
      </c>
      <c r="H351" s="365">
        <f t="shared" si="165"/>
        <v>-0.17577413479052828</v>
      </c>
      <c r="I351" s="363"/>
    </row>
    <row r="352" spans="2:9" x14ac:dyDescent="0.25">
      <c r="B352" s="620">
        <v>42542</v>
      </c>
      <c r="C352" s="362">
        <v>6800</v>
      </c>
      <c r="D352" s="621">
        <v>17.892099999999999</v>
      </c>
      <c r="E352" s="363">
        <v>15.09</v>
      </c>
      <c r="F352" s="363">
        <f t="shared" si="163"/>
        <v>-19054.279999999995</v>
      </c>
      <c r="G352" s="363">
        <f t="shared" si="164"/>
        <v>121666.28</v>
      </c>
      <c r="H352" s="365">
        <f t="shared" si="165"/>
        <v>-0.15661101827063337</v>
      </c>
      <c r="I352" s="363"/>
    </row>
    <row r="353" spans="2:14" ht="15" customHeight="1" x14ac:dyDescent="0.25">
      <c r="B353" s="620">
        <v>42543</v>
      </c>
      <c r="C353" s="362">
        <v>7300</v>
      </c>
      <c r="D353" s="621">
        <v>17.6769</v>
      </c>
      <c r="E353" s="363">
        <v>14.75</v>
      </c>
      <c r="F353" s="363">
        <f t="shared" ref="F353:F361" si="166">C353*(E353-D353)</f>
        <v>-21366.37</v>
      </c>
      <c r="G353" s="363">
        <f t="shared" ref="G353:G361" si="167">IF(C353=0, 0,D353*C353)</f>
        <v>129041.37</v>
      </c>
      <c r="H353" s="365">
        <f t="shared" ref="H353:H361" si="168">IF(C353=0, D353, (E353-D353)/D353)</f>
        <v>-0.16557767481854849</v>
      </c>
      <c r="I353" s="363"/>
    </row>
    <row r="354" spans="2:14" x14ac:dyDescent="0.25">
      <c r="B354" s="620">
        <v>42544</v>
      </c>
      <c r="C354" s="362">
        <v>6800</v>
      </c>
      <c r="D354" s="621">
        <v>17.856100000000001</v>
      </c>
      <c r="E354" s="363">
        <v>15.27</v>
      </c>
      <c r="F354" s="363">
        <f t="shared" si="166"/>
        <v>-17585.480000000014</v>
      </c>
      <c r="G354" s="363">
        <f t="shared" si="167"/>
        <v>121421.48000000001</v>
      </c>
      <c r="H354" s="365">
        <f t="shared" si="168"/>
        <v>-0.1448300580753917</v>
      </c>
      <c r="I354" s="363"/>
    </row>
    <row r="355" spans="2:14" x14ac:dyDescent="0.25">
      <c r="B355" s="620">
        <v>42545</v>
      </c>
      <c r="C355" s="362">
        <v>7678</v>
      </c>
      <c r="D355" s="621">
        <v>17.462</v>
      </c>
      <c r="E355" s="363">
        <v>14.41</v>
      </c>
      <c r="F355" s="363">
        <f t="shared" si="166"/>
        <v>-23433.255999999998</v>
      </c>
      <c r="G355" s="363">
        <f t="shared" si="167"/>
        <v>134073.236</v>
      </c>
      <c r="H355" s="365">
        <f t="shared" si="168"/>
        <v>-0.17477952124613444</v>
      </c>
      <c r="I355" s="363"/>
    </row>
    <row r="356" spans="2:14" x14ac:dyDescent="0.25">
      <c r="B356" s="620">
        <v>42545</v>
      </c>
      <c r="C356" s="362">
        <v>8013</v>
      </c>
      <c r="D356" s="621">
        <v>17.32</v>
      </c>
      <c r="E356" s="363">
        <v>14.68</v>
      </c>
      <c r="F356" s="363">
        <f t="shared" si="166"/>
        <v>-21154.320000000003</v>
      </c>
      <c r="G356" s="363">
        <f t="shared" si="167"/>
        <v>138785.16</v>
      </c>
      <c r="H356" s="365">
        <f t="shared" si="168"/>
        <v>-0.15242494226327949</v>
      </c>
      <c r="I356" s="363"/>
    </row>
    <row r="357" spans="2:14" x14ac:dyDescent="0.25">
      <c r="B357" s="620">
        <v>42548</v>
      </c>
      <c r="C357" s="362">
        <v>8978</v>
      </c>
      <c r="D357" s="621">
        <v>16.943300000000001</v>
      </c>
      <c r="E357" s="363">
        <v>13.66</v>
      </c>
      <c r="F357" s="363">
        <f t="shared" si="166"/>
        <v>-29477.467400000005</v>
      </c>
      <c r="G357" s="363">
        <f t="shared" si="167"/>
        <v>152116.9474</v>
      </c>
      <c r="H357" s="365">
        <f t="shared" si="168"/>
        <v>-0.19378161279089673</v>
      </c>
      <c r="I357" s="363"/>
    </row>
    <row r="358" spans="2:14" x14ac:dyDescent="0.25">
      <c r="B358" s="620">
        <v>42548</v>
      </c>
      <c r="C358" s="362">
        <v>9278</v>
      </c>
      <c r="D358" s="621">
        <v>16.834599999999998</v>
      </c>
      <c r="E358" s="363">
        <v>13.66</v>
      </c>
      <c r="F358" s="363">
        <f t="shared" si="166"/>
        <v>-29453.938799999982</v>
      </c>
      <c r="G358" s="363">
        <f t="shared" si="167"/>
        <v>156191.41879999998</v>
      </c>
      <c r="H358" s="364">
        <f t="shared" si="168"/>
        <v>-0.18857590913951019</v>
      </c>
      <c r="I358" s="363"/>
    </row>
    <row r="359" spans="2:14" x14ac:dyDescent="0.25">
      <c r="B359" s="620">
        <v>42549</v>
      </c>
      <c r="C359" s="362">
        <v>8178</v>
      </c>
      <c r="D359" s="621">
        <v>17.124400000000001</v>
      </c>
      <c r="E359" s="363">
        <v>14.78</v>
      </c>
      <c r="F359" s="363">
        <f t="shared" si="166"/>
        <v>-19172.503200000017</v>
      </c>
      <c r="G359" s="363">
        <f t="shared" si="167"/>
        <v>140043.3432</v>
      </c>
      <c r="H359" s="364">
        <f t="shared" si="168"/>
        <v>-0.13690406671182651</v>
      </c>
      <c r="I359" s="363">
        <v>17</v>
      </c>
    </row>
    <row r="360" spans="2:14" x14ac:dyDescent="0.25">
      <c r="B360" s="620">
        <v>42552</v>
      </c>
      <c r="C360" s="362">
        <v>7678</v>
      </c>
      <c r="D360" s="621">
        <v>17.2315</v>
      </c>
      <c r="E360" s="363">
        <v>15.48</v>
      </c>
      <c r="F360" s="363">
        <f t="shared" si="166"/>
        <v>-13448.017</v>
      </c>
      <c r="G360" s="363">
        <f t="shared" si="167"/>
        <v>132303.45699999999</v>
      </c>
      <c r="H360" s="364">
        <f t="shared" si="168"/>
        <v>-0.1016452427240809</v>
      </c>
      <c r="I360" s="363">
        <v>17</v>
      </c>
      <c r="N360" s="29"/>
    </row>
    <row r="361" spans="2:14" x14ac:dyDescent="0.25">
      <c r="B361" s="620">
        <v>42552</v>
      </c>
      <c r="C361" s="362">
        <v>7300</v>
      </c>
      <c r="D361" s="621">
        <v>17.313400000000001</v>
      </c>
      <c r="E361" s="363">
        <v>15.65</v>
      </c>
      <c r="F361" s="363">
        <f t="shared" si="166"/>
        <v>-12142.820000000009</v>
      </c>
      <c r="G361" s="363">
        <f t="shared" si="167"/>
        <v>126387.82</v>
      </c>
      <c r="H361" s="364">
        <f t="shared" si="168"/>
        <v>-9.6075871868032903E-2</v>
      </c>
      <c r="I361" s="363"/>
    </row>
    <row r="362" spans="2:14" x14ac:dyDescent="0.25">
      <c r="B362" s="620">
        <v>42552</v>
      </c>
      <c r="C362" s="362">
        <v>6800</v>
      </c>
      <c r="D362" s="621">
        <v>17.446100000000001</v>
      </c>
      <c r="E362" s="363">
        <v>15.7</v>
      </c>
      <c r="F362" s="363">
        <f t="shared" ref="F362:F383" si="169">C362*(E362-D362)</f>
        <v>-11873.480000000014</v>
      </c>
      <c r="G362" s="363">
        <f t="shared" ref="G362:G383" si="170">IF(C362=0, 0,D362*C362)</f>
        <v>118633.48000000001</v>
      </c>
      <c r="H362" s="364">
        <f t="shared" ref="H362:H383" si="171">IF(C362=0, D362, (E362-D362)/D362)</f>
        <v>-0.10008540590733757</v>
      </c>
      <c r="I362" s="363"/>
    </row>
    <row r="363" spans="2:14" x14ac:dyDescent="0.25">
      <c r="B363" s="620">
        <v>42552</v>
      </c>
      <c r="C363" s="362">
        <v>6000</v>
      </c>
      <c r="D363" s="621">
        <v>17.668199999999999</v>
      </c>
      <c r="E363" s="363">
        <v>15.68</v>
      </c>
      <c r="F363" s="363">
        <f t="shared" si="169"/>
        <v>-11929.199999999995</v>
      </c>
      <c r="G363" s="363">
        <f t="shared" si="170"/>
        <v>106009.2</v>
      </c>
      <c r="H363" s="364">
        <f t="shared" si="171"/>
        <v>-0.11252985589929926</v>
      </c>
      <c r="I363" s="363"/>
    </row>
    <row r="364" spans="2:14" ht="15" customHeight="1" x14ac:dyDescent="0.25">
      <c r="B364" s="620">
        <v>42556</v>
      </c>
      <c r="C364" s="362">
        <v>8178</v>
      </c>
      <c r="D364" s="621">
        <v>16.978899999999999</v>
      </c>
      <c r="E364" s="363">
        <v>14.72</v>
      </c>
      <c r="F364" s="363">
        <f t="shared" si="169"/>
        <v>-18473.284199999991</v>
      </c>
      <c r="G364" s="363">
        <f t="shared" si="170"/>
        <v>138853.4442</v>
      </c>
      <c r="H364" s="364">
        <f t="shared" si="171"/>
        <v>-0.13304159869013887</v>
      </c>
      <c r="I364" s="363">
        <v>16.75</v>
      </c>
    </row>
    <row r="365" spans="2:14" x14ac:dyDescent="0.25">
      <c r="B365" s="620">
        <v>42556</v>
      </c>
      <c r="C365" s="362">
        <v>8678</v>
      </c>
      <c r="D365" s="621">
        <v>16.843</v>
      </c>
      <c r="E365" s="363">
        <v>14.72</v>
      </c>
      <c r="F365" s="363">
        <f t="shared" si="169"/>
        <v>-18423.393999999993</v>
      </c>
      <c r="G365" s="363">
        <f t="shared" si="170"/>
        <v>146163.554</v>
      </c>
      <c r="H365" s="364">
        <f t="shared" si="171"/>
        <v>-0.12604642878347083</v>
      </c>
      <c r="I365" s="363"/>
    </row>
    <row r="366" spans="2:14" x14ac:dyDescent="0.25">
      <c r="B366" s="620">
        <v>42557</v>
      </c>
      <c r="C366" s="362">
        <v>8178</v>
      </c>
      <c r="D366" s="621">
        <v>16.960599999999999</v>
      </c>
      <c r="E366" s="363">
        <v>14.84</v>
      </c>
      <c r="F366" s="363">
        <f t="shared" si="169"/>
        <v>-17342.266799999998</v>
      </c>
      <c r="G366" s="363">
        <f t="shared" si="170"/>
        <v>138703.7868</v>
      </c>
      <c r="H366" s="364">
        <f t="shared" si="171"/>
        <v>-0.12503095409360515</v>
      </c>
      <c r="I366" s="363">
        <v>16.75</v>
      </c>
    </row>
    <row r="367" spans="2:14" x14ac:dyDescent="0.25">
      <c r="B367" s="620">
        <v>42557</v>
      </c>
      <c r="C367" s="362">
        <v>8678</v>
      </c>
      <c r="D367" s="621">
        <v>16.835000000000001</v>
      </c>
      <c r="E367" s="363">
        <v>14.84</v>
      </c>
      <c r="F367" s="363">
        <f t="shared" si="169"/>
        <v>-17312.610000000008</v>
      </c>
      <c r="G367" s="363">
        <f t="shared" si="170"/>
        <v>146094.13</v>
      </c>
      <c r="H367" s="364">
        <f t="shared" si="171"/>
        <v>-0.11850311850311855</v>
      </c>
      <c r="I367" s="363"/>
    </row>
    <row r="368" spans="2:14" x14ac:dyDescent="0.25">
      <c r="B368" s="620">
        <v>42559</v>
      </c>
      <c r="C368" s="362">
        <v>8678</v>
      </c>
      <c r="D368" s="621">
        <v>16.835000000000001</v>
      </c>
      <c r="E368" s="363">
        <v>14.92</v>
      </c>
      <c r="F368" s="363">
        <f t="shared" si="169"/>
        <v>-16618.370000000006</v>
      </c>
      <c r="G368" s="363">
        <f t="shared" si="170"/>
        <v>146094.13</v>
      </c>
      <c r="H368" s="364">
        <f t="shared" si="171"/>
        <v>-0.1137511137511138</v>
      </c>
      <c r="I368" s="363"/>
    </row>
    <row r="369" spans="2:9" x14ac:dyDescent="0.25">
      <c r="B369" s="620">
        <v>42562</v>
      </c>
      <c r="C369" s="362">
        <v>8678</v>
      </c>
      <c r="D369" s="621">
        <v>16.835000000000001</v>
      </c>
      <c r="E369" s="363">
        <v>14.69</v>
      </c>
      <c r="F369" s="363">
        <f t="shared" si="169"/>
        <v>-18614.310000000012</v>
      </c>
      <c r="G369" s="363">
        <f t="shared" si="170"/>
        <v>146094.13</v>
      </c>
      <c r="H369" s="364">
        <f t="shared" si="171"/>
        <v>-0.12741312741312749</v>
      </c>
      <c r="I369" s="363"/>
    </row>
    <row r="370" spans="2:9" x14ac:dyDescent="0.25">
      <c r="B370" s="620">
        <v>42563</v>
      </c>
      <c r="C370" s="362">
        <v>8678</v>
      </c>
      <c r="D370" s="621">
        <v>16.835000000000001</v>
      </c>
      <c r="E370" s="363">
        <v>15.6</v>
      </c>
      <c r="F370" s="363">
        <f t="shared" si="169"/>
        <v>-10717.330000000011</v>
      </c>
      <c r="G370" s="363">
        <f t="shared" si="170"/>
        <v>146094.13</v>
      </c>
      <c r="H370" s="364">
        <f t="shared" si="171"/>
        <v>-7.3359073359073421E-2</v>
      </c>
      <c r="I370" s="363"/>
    </row>
    <row r="371" spans="2:9" x14ac:dyDescent="0.25">
      <c r="B371" s="620">
        <v>42564</v>
      </c>
      <c r="C371" s="362">
        <v>8738</v>
      </c>
      <c r="D371" s="621">
        <v>16.816099999999999</v>
      </c>
      <c r="E371" s="363">
        <v>15.29</v>
      </c>
      <c r="F371" s="363">
        <f t="shared" si="169"/>
        <v>-13335.061799999996</v>
      </c>
      <c r="G371" s="363">
        <f t="shared" si="170"/>
        <v>146939.08179999999</v>
      </c>
      <c r="H371" s="364">
        <f t="shared" si="171"/>
        <v>-9.0752314745987453E-2</v>
      </c>
      <c r="I371" s="363"/>
    </row>
    <row r="372" spans="2:9" x14ac:dyDescent="0.25">
      <c r="B372" s="620">
        <v>42566</v>
      </c>
      <c r="C372" s="362">
        <v>8738</v>
      </c>
      <c r="D372" s="621">
        <v>16.816099999999999</v>
      </c>
      <c r="E372" s="363">
        <v>15.21</v>
      </c>
      <c r="F372" s="363">
        <f t="shared" si="169"/>
        <v>-14034.101799999982</v>
      </c>
      <c r="G372" s="363">
        <f t="shared" si="170"/>
        <v>146939.08179999999</v>
      </c>
      <c r="H372" s="364">
        <f t="shared" si="171"/>
        <v>-9.5509660384988079E-2</v>
      </c>
      <c r="I372" s="363"/>
    </row>
    <row r="373" spans="2:9" x14ac:dyDescent="0.25">
      <c r="B373" s="620">
        <v>42570</v>
      </c>
      <c r="C373" s="362">
        <v>9138</v>
      </c>
      <c r="D373" s="621">
        <v>16.733499999999999</v>
      </c>
      <c r="E373" s="363">
        <v>14.75</v>
      </c>
      <c r="F373" s="363">
        <f t="shared" si="169"/>
        <v>-18125.222999999994</v>
      </c>
      <c r="G373" s="363">
        <f t="shared" si="170"/>
        <v>152910.723</v>
      </c>
      <c r="H373" s="364">
        <f t="shared" si="171"/>
        <v>-0.1185346759494427</v>
      </c>
      <c r="I373" s="363"/>
    </row>
    <row r="374" spans="2:9" x14ac:dyDescent="0.25">
      <c r="B374" s="620">
        <v>42571</v>
      </c>
      <c r="C374" s="383">
        <v>9138</v>
      </c>
      <c r="D374" s="622">
        <v>16.7227</v>
      </c>
      <c r="E374" s="363">
        <v>14.84</v>
      </c>
      <c r="F374" s="363">
        <f t="shared" si="169"/>
        <v>-17204.112599999997</v>
      </c>
      <c r="G374" s="363">
        <f t="shared" si="170"/>
        <v>152812.03260000001</v>
      </c>
      <c r="H374" s="364">
        <f t="shared" si="171"/>
        <v>-0.11258349429218965</v>
      </c>
      <c r="I374" s="363"/>
    </row>
    <row r="375" spans="2:9" x14ac:dyDescent="0.25">
      <c r="B375" s="620">
        <v>42572</v>
      </c>
      <c r="C375" s="362">
        <v>9138</v>
      </c>
      <c r="D375" s="621">
        <v>16.718900000000001</v>
      </c>
      <c r="E375" s="363">
        <v>14.42</v>
      </c>
      <c r="F375" s="363">
        <f t="shared" si="169"/>
        <v>-21007.348200000015</v>
      </c>
      <c r="G375" s="363">
        <f t="shared" si="170"/>
        <v>152777.3082</v>
      </c>
      <c r="H375" s="364">
        <f t="shared" si="171"/>
        <v>-0.13750306539305823</v>
      </c>
      <c r="I375" s="363"/>
    </row>
    <row r="376" spans="2:9" x14ac:dyDescent="0.25">
      <c r="B376" s="620">
        <v>42573</v>
      </c>
      <c r="C376" s="362">
        <v>9278</v>
      </c>
      <c r="D376" s="621">
        <v>16.679099999999998</v>
      </c>
      <c r="E376" s="363">
        <v>14.11</v>
      </c>
      <c r="F376" s="363">
        <f t="shared" si="169"/>
        <v>-23836.109799999987</v>
      </c>
      <c r="G376" s="363">
        <f t="shared" si="170"/>
        <v>154748.68979999999</v>
      </c>
      <c r="H376" s="364">
        <f t="shared" si="171"/>
        <v>-0.15403109280476759</v>
      </c>
      <c r="I376" s="363"/>
    </row>
    <row r="377" spans="2:9" x14ac:dyDescent="0.25">
      <c r="B377" s="620">
        <v>42576</v>
      </c>
      <c r="C377" s="362">
        <v>9478</v>
      </c>
      <c r="D377" s="621">
        <v>16.613099999999999</v>
      </c>
      <c r="E377" s="363">
        <v>13.58</v>
      </c>
      <c r="F377" s="363">
        <f t="shared" si="169"/>
        <v>-28747.721799999992</v>
      </c>
      <c r="G377" s="363">
        <f t="shared" si="170"/>
        <v>157458.96179999999</v>
      </c>
      <c r="H377" s="364">
        <f t="shared" si="171"/>
        <v>-0.18257278894366491</v>
      </c>
      <c r="I377" s="363"/>
    </row>
    <row r="378" spans="2:9" x14ac:dyDescent="0.25">
      <c r="B378" s="620">
        <v>42577</v>
      </c>
      <c r="C378" s="383">
        <v>9278</v>
      </c>
      <c r="D378" s="622">
        <v>16.674199999999999</v>
      </c>
      <c r="E378" s="363">
        <v>13.78</v>
      </c>
      <c r="F378" s="363">
        <f t="shared" si="169"/>
        <v>-26852.387599999998</v>
      </c>
      <c r="G378" s="363">
        <f t="shared" si="170"/>
        <v>154703.22759999998</v>
      </c>
      <c r="H378" s="364">
        <f t="shared" si="171"/>
        <v>-0.17357354475776948</v>
      </c>
      <c r="I378" s="363">
        <v>16.53</v>
      </c>
    </row>
    <row r="379" spans="2:9" x14ac:dyDescent="0.25">
      <c r="B379" s="620">
        <v>42578</v>
      </c>
      <c r="C379" s="383">
        <v>9478</v>
      </c>
      <c r="D379" s="622">
        <v>16.6004</v>
      </c>
      <c r="E379" s="363">
        <v>13.13</v>
      </c>
      <c r="F379" s="363">
        <f t="shared" si="169"/>
        <v>-32892.451199999996</v>
      </c>
      <c r="G379" s="363">
        <f t="shared" si="170"/>
        <v>157338.5912</v>
      </c>
      <c r="H379" s="364">
        <f t="shared" si="171"/>
        <v>-0.20905520348907253</v>
      </c>
      <c r="I379" s="363"/>
    </row>
    <row r="380" spans="2:9" x14ac:dyDescent="0.25">
      <c r="B380" s="620">
        <v>42580</v>
      </c>
      <c r="C380" s="362">
        <v>9478</v>
      </c>
      <c r="D380" s="621">
        <v>16.599</v>
      </c>
      <c r="E380" s="363">
        <v>13.64</v>
      </c>
      <c r="F380" s="363">
        <f t="shared" si="169"/>
        <v>-28045.401999999998</v>
      </c>
      <c r="G380" s="363">
        <f t="shared" si="170"/>
        <v>157325.32200000001</v>
      </c>
      <c r="H380" s="365">
        <f t="shared" si="171"/>
        <v>-0.17826375082836313</v>
      </c>
      <c r="I380" s="363"/>
    </row>
    <row r="381" spans="2:9" x14ac:dyDescent="0.25">
      <c r="B381" s="620">
        <v>42580</v>
      </c>
      <c r="C381" s="362">
        <v>9278</v>
      </c>
      <c r="D381" s="621">
        <v>16.664000000000001</v>
      </c>
      <c r="E381" s="363">
        <v>13.64</v>
      </c>
      <c r="F381" s="363">
        <f t="shared" si="169"/>
        <v>-28056.67200000001</v>
      </c>
      <c r="G381" s="363">
        <f t="shared" si="170"/>
        <v>154608.592</v>
      </c>
      <c r="H381" s="365">
        <f t="shared" si="171"/>
        <v>-0.18146903504560732</v>
      </c>
      <c r="I381" s="363">
        <v>16.53</v>
      </c>
    </row>
    <row r="382" spans="2:9" x14ac:dyDescent="0.25">
      <c r="B382" s="620">
        <v>42583</v>
      </c>
      <c r="C382" s="362">
        <v>9478</v>
      </c>
      <c r="D382" s="621">
        <v>16.5871</v>
      </c>
      <c r="E382" s="363">
        <v>12.92</v>
      </c>
      <c r="F382" s="363">
        <f t="shared" si="169"/>
        <v>-34756.773799999995</v>
      </c>
      <c r="G382" s="363">
        <f t="shared" si="170"/>
        <v>157212.5338</v>
      </c>
      <c r="H382" s="365">
        <f t="shared" si="171"/>
        <v>-0.22108144280796521</v>
      </c>
      <c r="I382" s="363"/>
    </row>
    <row r="383" spans="2:9" x14ac:dyDescent="0.25">
      <c r="B383" s="620">
        <v>42584</v>
      </c>
      <c r="C383" s="362">
        <v>9678</v>
      </c>
      <c r="D383" s="621">
        <v>16.5063</v>
      </c>
      <c r="E383" s="363">
        <v>12.9</v>
      </c>
      <c r="F383" s="363">
        <f t="shared" si="169"/>
        <v>-34901.771399999991</v>
      </c>
      <c r="G383" s="363">
        <f t="shared" si="170"/>
        <v>159747.97140000001</v>
      </c>
      <c r="H383" s="365">
        <f t="shared" si="171"/>
        <v>-0.21848021664455386</v>
      </c>
      <c r="I383" s="363"/>
    </row>
    <row r="384" spans="2:9" x14ac:dyDescent="0.25">
      <c r="B384" s="620">
        <v>42585</v>
      </c>
      <c r="C384" s="362">
        <v>10078</v>
      </c>
      <c r="D384" s="621">
        <v>16.5063</v>
      </c>
      <c r="E384" s="363">
        <v>12.9</v>
      </c>
      <c r="F384" s="363">
        <f t="shared" ref="F384:F399" si="172">C384*(E384-D384)</f>
        <v>-36344.291399999995</v>
      </c>
      <c r="G384" s="363">
        <f t="shared" ref="G384:G399" si="173">IF(C384=0, 0,D384*C384)</f>
        <v>166350.4914</v>
      </c>
      <c r="H384" s="365">
        <f t="shared" ref="H384:H399" si="174">IF(C384=0, D384, (E384-D384)/D384)</f>
        <v>-0.21848021664455386</v>
      </c>
      <c r="I384" s="363"/>
    </row>
    <row r="385" spans="2:9" ht="15" customHeight="1" x14ac:dyDescent="0.25">
      <c r="B385" s="620">
        <v>42586</v>
      </c>
      <c r="C385" s="362">
        <v>9678</v>
      </c>
      <c r="D385" s="621">
        <v>16.489799999999999</v>
      </c>
      <c r="E385" s="363">
        <v>13.41</v>
      </c>
      <c r="F385" s="363">
        <f t="shared" si="172"/>
        <v>-29806.304399999986</v>
      </c>
      <c r="G385" s="363">
        <f t="shared" si="173"/>
        <v>159588.28439999997</v>
      </c>
      <c r="H385" s="365">
        <f t="shared" si="174"/>
        <v>-0.1867700032747516</v>
      </c>
      <c r="I385" s="363"/>
    </row>
    <row r="386" spans="2:9" x14ac:dyDescent="0.25">
      <c r="B386" s="620">
        <v>42586</v>
      </c>
      <c r="C386" s="362">
        <v>9278</v>
      </c>
      <c r="D386" s="621">
        <v>16.609200000000001</v>
      </c>
      <c r="E386" s="363">
        <v>13.66</v>
      </c>
      <c r="F386" s="363">
        <f t="shared" si="172"/>
        <v>-27362.67760000001</v>
      </c>
      <c r="G386" s="363">
        <f t="shared" si="173"/>
        <v>154100.15760000001</v>
      </c>
      <c r="H386" s="365">
        <f t="shared" si="174"/>
        <v>-0.17756424150470829</v>
      </c>
      <c r="I386" s="363">
        <v>16.53</v>
      </c>
    </row>
    <row r="387" spans="2:9" x14ac:dyDescent="0.25">
      <c r="B387" s="620">
        <v>42586</v>
      </c>
      <c r="C387" s="362">
        <v>9138</v>
      </c>
      <c r="D387" s="621">
        <v>16.6511</v>
      </c>
      <c r="E387" s="363">
        <v>13.87</v>
      </c>
      <c r="F387" s="363">
        <f t="shared" si="172"/>
        <v>-25413.691800000004</v>
      </c>
      <c r="G387" s="363">
        <f t="shared" si="173"/>
        <v>152157.7518</v>
      </c>
      <c r="H387" s="364">
        <f t="shared" si="174"/>
        <v>-0.1670219985466426</v>
      </c>
      <c r="I387" s="363"/>
    </row>
    <row r="388" spans="2:9" x14ac:dyDescent="0.25">
      <c r="B388" s="620">
        <v>42593</v>
      </c>
      <c r="C388" s="362">
        <v>8678</v>
      </c>
      <c r="D388" s="621">
        <v>16.760300000000001</v>
      </c>
      <c r="E388" s="363">
        <v>14.61</v>
      </c>
      <c r="F388" s="363">
        <f t="shared" si="172"/>
        <v>-18660.303400000012</v>
      </c>
      <c r="G388" s="363">
        <f t="shared" si="173"/>
        <v>145445.88340000002</v>
      </c>
      <c r="H388" s="364">
        <f t="shared" si="174"/>
        <v>-0.12829722618330228</v>
      </c>
      <c r="I388" s="363"/>
    </row>
    <row r="389" spans="2:9" x14ac:dyDescent="0.25">
      <c r="B389" s="620">
        <v>42597</v>
      </c>
      <c r="C389" s="362">
        <v>8678</v>
      </c>
      <c r="D389" s="621">
        <v>16.7471</v>
      </c>
      <c r="E389" s="363">
        <v>14.9</v>
      </c>
      <c r="F389" s="363">
        <f t="shared" si="172"/>
        <v>-16029.133799999994</v>
      </c>
      <c r="G389" s="363">
        <f t="shared" si="173"/>
        <v>145331.33379999999</v>
      </c>
      <c r="H389" s="364">
        <f t="shared" si="174"/>
        <v>-0.11029372249523794</v>
      </c>
      <c r="I389" s="363"/>
    </row>
    <row r="390" spans="2:9" x14ac:dyDescent="0.25">
      <c r="B390" s="620">
        <v>42598</v>
      </c>
      <c r="C390" s="362">
        <v>8178</v>
      </c>
      <c r="D390" s="621">
        <v>16.8429</v>
      </c>
      <c r="E390" s="363">
        <v>15.17</v>
      </c>
      <c r="F390" s="363">
        <f t="shared" si="172"/>
        <v>-13680.976200000003</v>
      </c>
      <c r="G390" s="363">
        <f t="shared" si="173"/>
        <v>137741.23620000001</v>
      </c>
      <c r="H390" s="364">
        <f t="shared" si="174"/>
        <v>-9.9323750660515728E-2</v>
      </c>
      <c r="I390" s="363">
        <v>16.75</v>
      </c>
    </row>
    <row r="391" spans="2:9" x14ac:dyDescent="0.25">
      <c r="B391" s="620">
        <v>42599</v>
      </c>
      <c r="C391" s="362">
        <v>7178</v>
      </c>
      <c r="D391" s="621">
        <v>17.009899999999998</v>
      </c>
      <c r="E391" s="363">
        <v>15.7</v>
      </c>
      <c r="F391" s="363">
        <f t="shared" si="172"/>
        <v>-9402.4621999999927</v>
      </c>
      <c r="G391" s="363">
        <f t="shared" si="173"/>
        <v>122097.06219999999</v>
      </c>
      <c r="H391" s="364">
        <f t="shared" si="174"/>
        <v>-7.7008095285686515E-2</v>
      </c>
      <c r="I391" s="363"/>
    </row>
    <row r="392" spans="2:9" x14ac:dyDescent="0.25">
      <c r="B392" s="620">
        <v>42600</v>
      </c>
      <c r="C392" s="362">
        <v>5500</v>
      </c>
      <c r="D392" s="621">
        <v>17.185600000000001</v>
      </c>
      <c r="E392" s="363">
        <v>16.68</v>
      </c>
      <c r="F392" s="363">
        <f t="shared" si="172"/>
        <v>-2780.8000000000065</v>
      </c>
      <c r="G392" s="363">
        <f t="shared" si="173"/>
        <v>94520.8</v>
      </c>
      <c r="H392" s="364">
        <f t="shared" si="174"/>
        <v>-2.9419979517735846E-2</v>
      </c>
      <c r="I392" s="363"/>
    </row>
    <row r="393" spans="2:9" x14ac:dyDescent="0.25">
      <c r="B393" s="620">
        <v>42601</v>
      </c>
      <c r="C393" s="362">
        <v>5000</v>
      </c>
      <c r="D393" s="621">
        <v>17.222200000000001</v>
      </c>
      <c r="E393" s="363">
        <v>16.8</v>
      </c>
      <c r="F393" s="363">
        <f t="shared" si="172"/>
        <v>-2111.0000000000005</v>
      </c>
      <c r="G393" s="363">
        <f t="shared" si="173"/>
        <v>86111</v>
      </c>
      <c r="H393" s="364">
        <f t="shared" si="174"/>
        <v>-2.4514870341768188E-2</v>
      </c>
      <c r="I393" s="363"/>
    </row>
    <row r="394" spans="2:9" x14ac:dyDescent="0.25">
      <c r="B394" s="620">
        <v>42604</v>
      </c>
      <c r="C394" s="362">
        <v>6000</v>
      </c>
      <c r="D394" s="621">
        <v>16.9651</v>
      </c>
      <c r="E394" s="363">
        <v>15.64</v>
      </c>
      <c r="F394" s="363">
        <f t="shared" si="172"/>
        <v>-7950.599999999994</v>
      </c>
      <c r="G394" s="363">
        <f t="shared" si="173"/>
        <v>101790.59999999999</v>
      </c>
      <c r="H394" s="364">
        <f t="shared" si="174"/>
        <v>-7.8107408739117312E-2</v>
      </c>
      <c r="I394" s="363"/>
    </row>
    <row r="395" spans="2:9" x14ac:dyDescent="0.25">
      <c r="B395" s="620">
        <v>42604</v>
      </c>
      <c r="C395" s="362">
        <v>6500</v>
      </c>
      <c r="D395" s="621">
        <v>16.850899999999999</v>
      </c>
      <c r="E395" s="363">
        <v>15.64</v>
      </c>
      <c r="F395" s="363">
        <f t="shared" si="172"/>
        <v>-7870.8499999999922</v>
      </c>
      <c r="G395" s="363">
        <f t="shared" si="173"/>
        <v>109530.84999999999</v>
      </c>
      <c r="H395" s="364">
        <f t="shared" si="174"/>
        <v>-7.1859663282079822E-2</v>
      </c>
      <c r="I395" s="363"/>
    </row>
    <row r="396" spans="2:9" x14ac:dyDescent="0.25">
      <c r="B396" s="620">
        <v>42605</v>
      </c>
      <c r="C396" s="362">
        <v>6000</v>
      </c>
      <c r="D396" s="621">
        <v>16.923500000000001</v>
      </c>
      <c r="E396" s="363">
        <v>16.43</v>
      </c>
      <c r="F396" s="363">
        <f t="shared" si="172"/>
        <v>-2961.0000000000055</v>
      </c>
      <c r="G396" s="363">
        <f t="shared" si="173"/>
        <v>101541</v>
      </c>
      <c r="H396" s="364">
        <f t="shared" si="174"/>
        <v>-2.9160634620498178E-2</v>
      </c>
      <c r="I396" s="363"/>
    </row>
    <row r="397" spans="2:9" x14ac:dyDescent="0.25">
      <c r="B397" s="620">
        <v>42605</v>
      </c>
      <c r="C397" s="362">
        <v>5500</v>
      </c>
      <c r="D397" s="621">
        <v>16.9848</v>
      </c>
      <c r="E397" s="363">
        <v>16.43</v>
      </c>
      <c r="F397" s="363">
        <f t="shared" si="172"/>
        <v>-3051.400000000001</v>
      </c>
      <c r="G397" s="363">
        <f t="shared" si="173"/>
        <v>93416.4</v>
      </c>
      <c r="H397" s="364">
        <f t="shared" si="174"/>
        <v>-3.266450002355048E-2</v>
      </c>
      <c r="I397" s="363"/>
    </row>
    <row r="398" spans="2:9" x14ac:dyDescent="0.25">
      <c r="B398" s="620">
        <v>42605</v>
      </c>
      <c r="C398" s="362">
        <v>5000</v>
      </c>
      <c r="D398" s="621">
        <v>17.035299999999999</v>
      </c>
      <c r="E398" s="363">
        <v>16.43</v>
      </c>
      <c r="F398" s="363">
        <f t="shared" si="172"/>
        <v>-3026.4999999999986</v>
      </c>
      <c r="G398" s="363">
        <f t="shared" si="173"/>
        <v>85176.5</v>
      </c>
      <c r="H398" s="364">
        <f t="shared" si="174"/>
        <v>-3.5532100990296606E-2</v>
      </c>
      <c r="I398" s="363"/>
    </row>
    <row r="399" spans="2:9" x14ac:dyDescent="0.25">
      <c r="B399" s="620">
        <v>42606</v>
      </c>
      <c r="C399" s="362">
        <v>5178</v>
      </c>
      <c r="D399" s="621">
        <v>17.0017</v>
      </c>
      <c r="E399" s="363">
        <v>16.059999999999999</v>
      </c>
      <c r="F399" s="363">
        <f t="shared" si="172"/>
        <v>-4876.1226000000042</v>
      </c>
      <c r="G399" s="363">
        <f t="shared" si="173"/>
        <v>88034.802599999995</v>
      </c>
      <c r="H399" s="364">
        <f t="shared" si="174"/>
        <v>-5.5388578789179958E-2</v>
      </c>
      <c r="I399" s="363"/>
    </row>
    <row r="400" spans="2:9" x14ac:dyDescent="0.25">
      <c r="B400" s="620">
        <v>42607</v>
      </c>
      <c r="C400" s="362">
        <v>5178</v>
      </c>
      <c r="D400" s="621">
        <v>17.0017</v>
      </c>
      <c r="E400" s="363">
        <v>16.010000000000002</v>
      </c>
      <c r="F400" s="363">
        <f>C400*(E400-D400)</f>
        <v>-5135.0225999999902</v>
      </c>
      <c r="G400" s="363">
        <f>IF(C400=0, 0,D400*C400)</f>
        <v>88034.802599999995</v>
      </c>
      <c r="H400" s="364">
        <f>IF(C400=0, D400, (E400-D400)/D400)</f>
        <v>-5.8329461171529789E-2</v>
      </c>
      <c r="I400" s="363"/>
    </row>
    <row r="401" spans="2:9" x14ac:dyDescent="0.25">
      <c r="B401" s="620">
        <v>42608</v>
      </c>
      <c r="C401" s="362">
        <v>6178</v>
      </c>
      <c r="D401" s="621">
        <v>16.825800000000001</v>
      </c>
      <c r="E401" s="363">
        <v>15.95</v>
      </c>
      <c r="F401" s="363">
        <f>C401*(E401-D401)</f>
        <v>-5410.6924000000108</v>
      </c>
      <c r="G401" s="363">
        <f>IF(C401=0, 0,D401*C401)</f>
        <v>103949.79240000001</v>
      </c>
      <c r="H401" s="364">
        <f>IF(C401=0, D401, (E401-D401)/D401)</f>
        <v>-5.2051016890727435E-2</v>
      </c>
      <c r="I401" s="363"/>
    </row>
    <row r="402" spans="2:9" x14ac:dyDescent="0.25">
      <c r="B402" s="620">
        <v>42611</v>
      </c>
      <c r="C402" s="362">
        <v>6178</v>
      </c>
      <c r="D402" s="621">
        <v>16.825800000000001</v>
      </c>
      <c r="E402" s="363">
        <v>15.99</v>
      </c>
      <c r="F402" s="363">
        <f t="shared" ref="F402:F407" si="175">C402*(E402-D402)</f>
        <v>-5163.5724000000046</v>
      </c>
      <c r="G402" s="363">
        <f t="shared" ref="G402:G407" si="176">IF(C402=0, 0,D402*C402)</f>
        <v>103949.79240000001</v>
      </c>
      <c r="H402" s="364">
        <f t="shared" ref="H402:H407" si="177">IF(C402=0, D402, (E402-D402)/D402)</f>
        <v>-4.9673715365688452E-2</v>
      </c>
      <c r="I402" s="363"/>
    </row>
    <row r="403" spans="2:9" x14ac:dyDescent="0.25">
      <c r="B403" s="620">
        <v>42612</v>
      </c>
      <c r="C403" s="362">
        <v>6678</v>
      </c>
      <c r="D403" s="621">
        <v>16.739999999999998</v>
      </c>
      <c r="E403" s="363">
        <v>15.55</v>
      </c>
      <c r="F403" s="443">
        <f t="shared" si="175"/>
        <v>-7946.8199999999852</v>
      </c>
      <c r="G403" s="363">
        <f t="shared" si="176"/>
        <v>111789.71999999999</v>
      </c>
      <c r="H403" s="365">
        <f t="shared" si="177"/>
        <v>-7.1087216248506446E-2</v>
      </c>
      <c r="I403" s="382"/>
    </row>
    <row r="404" spans="2:9" x14ac:dyDescent="0.25">
      <c r="B404" s="620">
        <v>42612</v>
      </c>
      <c r="C404" s="362">
        <v>7178</v>
      </c>
      <c r="D404" s="621">
        <v>16.6571</v>
      </c>
      <c r="E404" s="363">
        <v>15.55</v>
      </c>
      <c r="F404" s="363">
        <f t="shared" si="175"/>
        <v>-7946.7637999999934</v>
      </c>
      <c r="G404" s="363">
        <f t="shared" si="176"/>
        <v>119564.66379999999</v>
      </c>
      <c r="H404" s="364">
        <f t="shared" si="177"/>
        <v>-6.6464150422342369E-2</v>
      </c>
      <c r="I404" s="363"/>
    </row>
    <row r="405" spans="2:9" x14ac:dyDescent="0.25">
      <c r="B405" s="620">
        <v>42613</v>
      </c>
      <c r="C405" s="362">
        <v>7678</v>
      </c>
      <c r="D405" s="621">
        <v>16.565200000000001</v>
      </c>
      <c r="E405" s="363">
        <v>15.02</v>
      </c>
      <c r="F405" s="363">
        <f t="shared" si="175"/>
        <v>-11864.04560000001</v>
      </c>
      <c r="G405" s="363">
        <f t="shared" si="176"/>
        <v>127187.60560000001</v>
      </c>
      <c r="H405" s="364">
        <f t="shared" si="177"/>
        <v>-9.3279887957887692E-2</v>
      </c>
      <c r="I405" s="363" t="s">
        <v>257</v>
      </c>
    </row>
    <row r="406" spans="2:9" x14ac:dyDescent="0.25">
      <c r="B406" s="620">
        <v>42613</v>
      </c>
      <c r="C406" s="362">
        <v>8178</v>
      </c>
      <c r="D406" s="621">
        <v>16.474399999999999</v>
      </c>
      <c r="E406" s="363">
        <v>15.02</v>
      </c>
      <c r="F406" s="363">
        <f t="shared" si="175"/>
        <v>-11894.083199999997</v>
      </c>
      <c r="G406" s="363">
        <f t="shared" si="176"/>
        <v>134727.64319999999</v>
      </c>
      <c r="H406" s="364">
        <f t="shared" si="177"/>
        <v>-8.8282426067110162E-2</v>
      </c>
      <c r="I406" s="363" t="s">
        <v>258</v>
      </c>
    </row>
    <row r="407" spans="2:9" ht="15" customHeight="1" x14ac:dyDescent="0.25">
      <c r="B407" s="620">
        <v>42615</v>
      </c>
      <c r="C407" s="362">
        <v>7678</v>
      </c>
      <c r="D407" s="621">
        <v>16.528099999999998</v>
      </c>
      <c r="E407" s="363">
        <v>15.49</v>
      </c>
      <c r="F407" s="363">
        <f t="shared" si="175"/>
        <v>-7970.5317999999861</v>
      </c>
      <c r="G407" s="363">
        <f t="shared" si="176"/>
        <v>126902.75179999998</v>
      </c>
      <c r="H407" s="364">
        <f t="shared" si="177"/>
        <v>-6.2808187268953986E-2</v>
      </c>
      <c r="I407" s="363">
        <v>16.350000000000001</v>
      </c>
    </row>
    <row r="408" spans="2:9" x14ac:dyDescent="0.25">
      <c r="B408" s="620">
        <v>42616</v>
      </c>
      <c r="C408" s="362">
        <v>7678</v>
      </c>
      <c r="D408" s="621">
        <v>16.528099999999998</v>
      </c>
      <c r="E408" s="363">
        <v>15.64</v>
      </c>
      <c r="F408" s="363">
        <f>C408*(E408-D408)</f>
        <v>-6818.8317999999836</v>
      </c>
      <c r="G408" s="363">
        <f>IF(C408=0, 0,D408*C408)</f>
        <v>126902.75179999998</v>
      </c>
      <c r="H408" s="364">
        <f>IF(C408=0, D408, (E408-D408)/D408)</f>
        <v>-5.3732733950060681E-2</v>
      </c>
      <c r="I408" s="363"/>
    </row>
    <row r="409" spans="2:9" x14ac:dyDescent="0.25">
      <c r="B409" s="620">
        <v>42621</v>
      </c>
      <c r="C409" s="362">
        <v>7178</v>
      </c>
      <c r="D409" s="621">
        <v>16.545400000000001</v>
      </c>
      <c r="E409" s="363">
        <v>16.739999999999998</v>
      </c>
      <c r="F409" s="363">
        <f>C409*(E409-D409)</f>
        <v>1396.8387999999832</v>
      </c>
      <c r="G409" s="363">
        <f>IF(C409=0, 0,D409*C409)</f>
        <v>118762.8812</v>
      </c>
      <c r="H409" s="364">
        <f>IF(C409=0, D409, (E409-D409)/D409)</f>
        <v>1.1761577235968768E-2</v>
      </c>
      <c r="I409" s="363"/>
    </row>
    <row r="410" spans="2:9" x14ac:dyDescent="0.25">
      <c r="B410" s="620">
        <v>42621</v>
      </c>
      <c r="C410" s="383">
        <v>6678</v>
      </c>
      <c r="D410" s="622">
        <v>16.532299999999999</v>
      </c>
      <c r="E410" s="363">
        <v>16.739999999999998</v>
      </c>
      <c r="F410" s="363">
        <f>C410*(E410-D410)</f>
        <v>1387.0205999999941</v>
      </c>
      <c r="G410" s="363">
        <f>IF(C410=0, 0,D410*C410)</f>
        <v>110402.6994</v>
      </c>
      <c r="H410" s="364">
        <f>IF(C410=0, D410, (E410-D410)/D410)</f>
        <v>1.256328520532528E-2</v>
      </c>
      <c r="I410" s="363"/>
    </row>
    <row r="411" spans="2:9" x14ac:dyDescent="0.25">
      <c r="B411" s="620">
        <v>42621</v>
      </c>
      <c r="C411" s="362">
        <v>6458</v>
      </c>
      <c r="D411" s="621">
        <v>16.524263999999999</v>
      </c>
      <c r="E411" s="363">
        <v>16.739999999999998</v>
      </c>
      <c r="F411" s="363">
        <f>C411*(E411-D411)</f>
        <v>1393.2230879999981</v>
      </c>
      <c r="G411" s="363">
        <f>IF(C411=0, 0,D411*C411)</f>
        <v>106713.69691199998</v>
      </c>
      <c r="H411" s="364">
        <f>IF(C411=0, D411, (E411-D411)/D411)</f>
        <v>1.3055710075801242E-2</v>
      </c>
      <c r="I411" s="363"/>
    </row>
    <row r="412" spans="2:9" x14ac:dyDescent="0.25">
      <c r="B412" s="620">
        <v>42622</v>
      </c>
      <c r="C412" s="362">
        <v>7178</v>
      </c>
      <c r="D412" s="621">
        <v>16.477945999999999</v>
      </c>
      <c r="E412" s="363">
        <v>15.67</v>
      </c>
      <c r="F412" s="363">
        <f>C412*(E412-D412)</f>
        <v>-5799.4363879999955</v>
      </c>
      <c r="G412" s="363">
        <f>IF(C412=0, 0,D412*C412)</f>
        <v>118278.696388</v>
      </c>
      <c r="H412" s="364">
        <f>IF(C412=0, D412, (E412-D412)/D412)</f>
        <v>-4.9031960658203359E-2</v>
      </c>
      <c r="I412" s="363"/>
    </row>
    <row r="413" spans="2:9" x14ac:dyDescent="0.25">
      <c r="B413" s="620">
        <v>42622</v>
      </c>
      <c r="C413" s="362">
        <v>7678</v>
      </c>
      <c r="D413" s="621">
        <v>16.430541999999999</v>
      </c>
      <c r="E413" s="363">
        <v>15.67</v>
      </c>
      <c r="F413" s="363">
        <f t="shared" ref="F413:F419" si="178">C413*(E413-D413)</f>
        <v>-5839.4414759999936</v>
      </c>
      <c r="G413" s="363">
        <f t="shared" ref="G413:G419" si="179">IF(C413=0, 0,D413*C413)</f>
        <v>126153.70147599999</v>
      </c>
      <c r="H413" s="364">
        <f t="shared" ref="H413:H419" si="180">IF(C413=0, D413, (E413-D413)/D413)</f>
        <v>-4.6288308687564853E-2</v>
      </c>
      <c r="I413" s="363">
        <v>16.350000000000001</v>
      </c>
    </row>
    <row r="414" spans="2:9" ht="15" customHeight="1" x14ac:dyDescent="0.25">
      <c r="B414" s="620">
        <v>42625</v>
      </c>
      <c r="C414" s="383">
        <v>7678</v>
      </c>
      <c r="D414" s="622">
        <v>16.412330000000001</v>
      </c>
      <c r="E414" s="363">
        <v>15.47</v>
      </c>
      <c r="F414" s="363">
        <f t="shared" si="178"/>
        <v>-7235.2097400000011</v>
      </c>
      <c r="G414" s="363">
        <f t="shared" si="179"/>
        <v>126013.86974000001</v>
      </c>
      <c r="H414" s="364">
        <f t="shared" si="180"/>
        <v>-5.7415979327737135E-2</v>
      </c>
      <c r="I414" s="363"/>
    </row>
    <row r="415" spans="2:9" x14ac:dyDescent="0.25">
      <c r="B415" s="620">
        <v>42625</v>
      </c>
      <c r="C415" s="383">
        <v>7678</v>
      </c>
      <c r="D415" s="622">
        <v>16.355817999999999</v>
      </c>
      <c r="E415" s="363">
        <v>15.47</v>
      </c>
      <c r="F415" s="363">
        <f t="shared" si="178"/>
        <v>-6801.3106039999893</v>
      </c>
      <c r="G415" s="363">
        <f t="shared" si="179"/>
        <v>125579.970604</v>
      </c>
      <c r="H415" s="364">
        <f t="shared" si="180"/>
        <v>-5.4159198885680847E-2</v>
      </c>
      <c r="I415" s="363" t="s">
        <v>272</v>
      </c>
    </row>
    <row r="416" spans="2:9" x14ac:dyDescent="0.25">
      <c r="B416" s="620">
        <v>42626</v>
      </c>
      <c r="C416" s="362">
        <v>8278</v>
      </c>
      <c r="D416" s="621">
        <v>16.25066</v>
      </c>
      <c r="E416" s="363">
        <v>14.34</v>
      </c>
      <c r="F416" s="363">
        <f t="shared" si="178"/>
        <v>-15816.44348</v>
      </c>
      <c r="G416" s="363">
        <f t="shared" si="179"/>
        <v>134522.96348000001</v>
      </c>
      <c r="H416" s="365">
        <f t="shared" si="180"/>
        <v>-0.11757430159759666</v>
      </c>
      <c r="I416" s="363"/>
    </row>
    <row r="417" spans="2:9" x14ac:dyDescent="0.25">
      <c r="B417" s="620">
        <v>42626</v>
      </c>
      <c r="C417" s="362">
        <v>8678</v>
      </c>
      <c r="D417" s="621">
        <v>16.18149</v>
      </c>
      <c r="E417" s="363">
        <v>14.34</v>
      </c>
      <c r="F417" s="363">
        <f t="shared" si="178"/>
        <v>-15980.450220000002</v>
      </c>
      <c r="G417" s="363">
        <f t="shared" si="179"/>
        <v>140422.97021999999</v>
      </c>
      <c r="H417" s="365">
        <f t="shared" si="180"/>
        <v>-0.11380225183218605</v>
      </c>
      <c r="I417" s="363"/>
    </row>
    <row r="418" spans="2:9" x14ac:dyDescent="0.25">
      <c r="B418" s="620">
        <v>42626</v>
      </c>
      <c r="C418" s="362">
        <v>8978</v>
      </c>
      <c r="D418" s="621">
        <v>16.124635000000001</v>
      </c>
      <c r="E418" s="363">
        <v>14.34</v>
      </c>
      <c r="F418" s="363">
        <f t="shared" si="178"/>
        <v>-16022.453030000013</v>
      </c>
      <c r="G418" s="363">
        <f t="shared" si="179"/>
        <v>144766.97303000002</v>
      </c>
      <c r="H418" s="365">
        <f t="shared" si="180"/>
        <v>-0.11067754401882594</v>
      </c>
      <c r="I418" s="363"/>
    </row>
    <row r="419" spans="2:9" x14ac:dyDescent="0.25">
      <c r="B419" s="620">
        <v>42626</v>
      </c>
      <c r="C419" s="362">
        <v>9278</v>
      </c>
      <c r="D419" s="621">
        <v>16.064019999999999</v>
      </c>
      <c r="E419" s="363">
        <v>14.34</v>
      </c>
      <c r="F419" s="363">
        <f t="shared" si="178"/>
        <v>-15995.457559999995</v>
      </c>
      <c r="G419" s="363">
        <f t="shared" si="179"/>
        <v>149041.97756</v>
      </c>
      <c r="H419" s="365">
        <f t="shared" si="180"/>
        <v>-0.10732182853357998</v>
      </c>
      <c r="I419" s="363" t="s">
        <v>273</v>
      </c>
    </row>
    <row r="420" spans="2:9" x14ac:dyDescent="0.25">
      <c r="B420" s="620">
        <v>42627</v>
      </c>
      <c r="C420" s="362">
        <v>9478</v>
      </c>
      <c r="D420" s="621">
        <v>16.020790999999999</v>
      </c>
      <c r="E420" s="363">
        <v>14.01</v>
      </c>
      <c r="F420" s="363">
        <f t="shared" ref="F420:F427" si="181">C420*(E420-D420)</f>
        <v>-19058.277097999995</v>
      </c>
      <c r="G420" s="363">
        <f t="shared" ref="G420:G427" si="182">IF(C420=0, 0,D420*C420)</f>
        <v>151845.05709799999</v>
      </c>
      <c r="H420" s="365">
        <f t="shared" ref="H420:H427" si="183">IF(C420=0, D420, (E420-D420)/D420)</f>
        <v>-0.1255113433537707</v>
      </c>
      <c r="I420" s="363"/>
    </row>
    <row r="421" spans="2:9" x14ac:dyDescent="0.25">
      <c r="B421" s="620">
        <v>42628</v>
      </c>
      <c r="C421" s="362">
        <v>9478</v>
      </c>
      <c r="D421" s="621">
        <v>16.015726999999998</v>
      </c>
      <c r="E421" s="363">
        <v>14.26</v>
      </c>
      <c r="F421" s="363">
        <f t="shared" si="181"/>
        <v>-16640.780505999985</v>
      </c>
      <c r="G421" s="363">
        <f t="shared" si="182"/>
        <v>151797.06050599998</v>
      </c>
      <c r="H421" s="365">
        <f t="shared" si="183"/>
        <v>-0.1096251827968845</v>
      </c>
      <c r="I421" s="363"/>
    </row>
    <row r="422" spans="2:9" x14ac:dyDescent="0.25">
      <c r="B422" s="620">
        <v>42629</v>
      </c>
      <c r="C422" s="362">
        <v>9478</v>
      </c>
      <c r="D422" s="621">
        <v>16.015726999999998</v>
      </c>
      <c r="E422" s="363">
        <v>14.24</v>
      </c>
      <c r="F422" s="363">
        <f t="shared" si="181"/>
        <v>-16830.340505999982</v>
      </c>
      <c r="G422" s="363">
        <f t="shared" si="182"/>
        <v>151797.06050599998</v>
      </c>
      <c r="H422" s="365">
        <f t="shared" si="183"/>
        <v>-0.1108739553315312</v>
      </c>
      <c r="I422" s="363"/>
    </row>
    <row r="423" spans="2:9" x14ac:dyDescent="0.25">
      <c r="B423" s="620">
        <v>42632</v>
      </c>
      <c r="C423" s="362">
        <v>9678</v>
      </c>
      <c r="D423" s="621">
        <v>15.975311</v>
      </c>
      <c r="E423" s="363">
        <v>14.09</v>
      </c>
      <c r="F423" s="363">
        <f t="shared" si="181"/>
        <v>-18246.039857999996</v>
      </c>
      <c r="G423" s="363">
        <f t="shared" si="182"/>
        <v>154609.05985799999</v>
      </c>
      <c r="H423" s="364">
        <f t="shared" si="183"/>
        <v>-0.11801404054043141</v>
      </c>
      <c r="I423" s="363"/>
    </row>
    <row r="424" spans="2:9" ht="15" customHeight="1" x14ac:dyDescent="0.25">
      <c r="B424" s="620">
        <v>42633</v>
      </c>
      <c r="C424" s="362">
        <v>9878</v>
      </c>
      <c r="D424" s="621">
        <v>15.937544000000001</v>
      </c>
      <c r="E424" s="363">
        <v>13.87</v>
      </c>
      <c r="F424" s="363">
        <f t="shared" si="181"/>
        <v>-20423.199632000014</v>
      </c>
      <c r="G424" s="363">
        <f t="shared" si="182"/>
        <v>157431.05963200002</v>
      </c>
      <c r="H424" s="364">
        <f t="shared" si="183"/>
        <v>-0.12972789282966068</v>
      </c>
      <c r="I424" s="363"/>
    </row>
    <row r="425" spans="2:9" x14ac:dyDescent="0.25">
      <c r="B425" s="620">
        <v>42633</v>
      </c>
      <c r="C425" s="362">
        <v>10000</v>
      </c>
      <c r="D425" s="621">
        <v>15.915126000000001</v>
      </c>
      <c r="E425" s="363">
        <v>13.87</v>
      </c>
      <c r="F425" s="363">
        <f t="shared" si="181"/>
        <v>-20451.260000000017</v>
      </c>
      <c r="G425" s="363">
        <f t="shared" si="182"/>
        <v>159151.26</v>
      </c>
      <c r="H425" s="364">
        <f t="shared" si="183"/>
        <v>-0.12850203008132022</v>
      </c>
      <c r="I425" s="363"/>
    </row>
    <row r="426" spans="2:9" x14ac:dyDescent="0.25">
      <c r="B426" s="620">
        <v>42634</v>
      </c>
      <c r="C426" s="362">
        <v>9678</v>
      </c>
      <c r="D426" s="621">
        <v>15.969538999999999</v>
      </c>
      <c r="E426" s="363">
        <v>14.65</v>
      </c>
      <c r="F426" s="363">
        <f t="shared" si="181"/>
        <v>-12770.498441999989</v>
      </c>
      <c r="G426" s="363">
        <f t="shared" si="182"/>
        <v>154553.19844199999</v>
      </c>
      <c r="H426" s="364">
        <f t="shared" si="183"/>
        <v>-8.2628496664806608E-2</v>
      </c>
      <c r="I426" s="363"/>
    </row>
    <row r="427" spans="2:9" x14ac:dyDescent="0.25">
      <c r="B427" s="620">
        <v>42634</v>
      </c>
      <c r="C427" s="362">
        <v>9278</v>
      </c>
      <c r="D427" s="621">
        <v>16.026872999999998</v>
      </c>
      <c r="E427" s="363">
        <v>14.65</v>
      </c>
      <c r="F427" s="363">
        <f t="shared" si="181"/>
        <v>-12774.627693999981</v>
      </c>
      <c r="G427" s="363">
        <f t="shared" si="182"/>
        <v>148697.32769399998</v>
      </c>
      <c r="H427" s="364">
        <f t="shared" si="183"/>
        <v>-8.5910270830747718E-2</v>
      </c>
      <c r="I427" s="363">
        <v>16</v>
      </c>
    </row>
    <row r="428" spans="2:9" x14ac:dyDescent="0.25">
      <c r="B428" s="620">
        <v>42635</v>
      </c>
      <c r="C428" s="362">
        <v>9278</v>
      </c>
      <c r="D428" s="621">
        <v>16.026872999999998</v>
      </c>
      <c r="E428" s="363">
        <v>14.87</v>
      </c>
      <c r="F428" s="363">
        <f t="shared" ref="F428:F439" si="184">C428*(E428-D428)</f>
        <v>-10733.467693999992</v>
      </c>
      <c r="G428" s="363">
        <f t="shared" ref="G428:G439" si="185">IF(C428=0, 0,D428*C428)</f>
        <v>148697.32769399998</v>
      </c>
      <c r="H428" s="364">
        <f t="shared" ref="H428:H439" si="186">IF(C428=0, D428, (E428-D428)/D428)</f>
        <v>-7.2183326092369937E-2</v>
      </c>
      <c r="I428" s="363"/>
    </row>
    <row r="429" spans="2:9" x14ac:dyDescent="0.25">
      <c r="B429" s="620">
        <v>42636</v>
      </c>
      <c r="C429" s="362">
        <v>9478</v>
      </c>
      <c r="D429" s="621">
        <v>15.992122</v>
      </c>
      <c r="E429" s="363">
        <v>14.49</v>
      </c>
      <c r="F429" s="363">
        <f t="shared" si="184"/>
        <v>-14237.112315999999</v>
      </c>
      <c r="G429" s="363">
        <f t="shared" si="185"/>
        <v>151573.33231600001</v>
      </c>
      <c r="H429" s="364">
        <f t="shared" si="186"/>
        <v>-9.39288732289561E-2</v>
      </c>
      <c r="I429" s="363"/>
    </row>
    <row r="430" spans="2:9" x14ac:dyDescent="0.25">
      <c r="B430" s="620">
        <v>42639</v>
      </c>
      <c r="C430" s="362">
        <v>9278</v>
      </c>
      <c r="D430" s="621">
        <v>16.019549999999999</v>
      </c>
      <c r="E430" s="363">
        <v>14.41</v>
      </c>
      <c r="F430" s="363">
        <f t="shared" si="184"/>
        <v>-14933.404899999989</v>
      </c>
      <c r="G430" s="363">
        <f t="shared" si="185"/>
        <v>148629.38489999998</v>
      </c>
      <c r="H430" s="364">
        <f t="shared" si="186"/>
        <v>-0.10047410819904422</v>
      </c>
      <c r="I430" s="363">
        <v>16</v>
      </c>
    </row>
    <row r="431" spans="2:9" ht="15" customHeight="1" x14ac:dyDescent="0.25">
      <c r="B431" s="620">
        <v>42639</v>
      </c>
      <c r="C431" s="362">
        <v>9478</v>
      </c>
      <c r="D431" s="621">
        <v>15.987468</v>
      </c>
      <c r="E431" s="363">
        <v>14.41</v>
      </c>
      <c r="F431" s="363">
        <f t="shared" si="184"/>
        <v>-14951.241703999996</v>
      </c>
      <c r="G431" s="363">
        <f t="shared" si="185"/>
        <v>151529.221704</v>
      </c>
      <c r="H431" s="364">
        <f t="shared" si="186"/>
        <v>-9.8669032519721048E-2</v>
      </c>
      <c r="I431" s="363"/>
    </row>
    <row r="432" spans="2:9" x14ac:dyDescent="0.25">
      <c r="B432" s="620">
        <v>42639</v>
      </c>
      <c r="C432" s="362">
        <v>9678</v>
      </c>
      <c r="D432" s="621">
        <v>15.954266000000001</v>
      </c>
      <c r="E432" s="363">
        <v>14.41</v>
      </c>
      <c r="F432" s="363">
        <f t="shared" si="184"/>
        <v>-14945.406348000004</v>
      </c>
      <c r="G432" s="363">
        <f t="shared" si="185"/>
        <v>154405.386348</v>
      </c>
      <c r="H432" s="364">
        <f t="shared" si="186"/>
        <v>-9.6793296538994669E-2</v>
      </c>
      <c r="I432" s="363"/>
    </row>
    <row r="433" spans="2:9" x14ac:dyDescent="0.25">
      <c r="B433" s="620">
        <v>42640</v>
      </c>
      <c r="C433" s="362">
        <v>10000</v>
      </c>
      <c r="D433" s="621">
        <v>15.890373</v>
      </c>
      <c r="E433" s="363">
        <v>14.06</v>
      </c>
      <c r="F433" s="363">
        <f t="shared" si="184"/>
        <v>-18303.73</v>
      </c>
      <c r="G433" s="363">
        <f t="shared" si="185"/>
        <v>158903.73000000001</v>
      </c>
      <c r="H433" s="364">
        <f t="shared" si="186"/>
        <v>-0.11518754153851517</v>
      </c>
      <c r="I433" s="363"/>
    </row>
    <row r="434" spans="2:9" x14ac:dyDescent="0.25">
      <c r="B434" s="620">
        <v>42641</v>
      </c>
      <c r="C434" s="362">
        <v>9278</v>
      </c>
      <c r="D434" s="621">
        <v>15.968</v>
      </c>
      <c r="E434" s="363">
        <v>15.18</v>
      </c>
      <c r="F434" s="363">
        <f t="shared" si="184"/>
        <v>-7311.0640000000021</v>
      </c>
      <c r="G434" s="363">
        <f t="shared" si="185"/>
        <v>148151.10399999999</v>
      </c>
      <c r="H434" s="364">
        <f t="shared" si="186"/>
        <v>-4.9348697394789594E-2</v>
      </c>
      <c r="I434" s="363" t="s">
        <v>285</v>
      </c>
    </row>
    <row r="435" spans="2:9" x14ac:dyDescent="0.25">
      <c r="B435" s="620">
        <v>42641</v>
      </c>
      <c r="C435" s="362">
        <v>8978</v>
      </c>
      <c r="D435" s="621">
        <v>15.991466000000001</v>
      </c>
      <c r="E435" s="363">
        <v>15.18</v>
      </c>
      <c r="F435" s="363">
        <f t="shared" si="184"/>
        <v>-7285.3417480000098</v>
      </c>
      <c r="G435" s="363">
        <f t="shared" si="185"/>
        <v>143571.38174800001</v>
      </c>
      <c r="H435" s="364">
        <f t="shared" si="186"/>
        <v>-5.0743690415875634E-2</v>
      </c>
      <c r="I435" s="363"/>
    </row>
    <row r="436" spans="2:9" x14ac:dyDescent="0.25">
      <c r="B436" s="620">
        <v>42642</v>
      </c>
      <c r="C436" s="362">
        <v>8678</v>
      </c>
      <c r="D436" s="621">
        <v>16.016100000000002</v>
      </c>
      <c r="E436" s="363">
        <v>15.9</v>
      </c>
      <c r="F436" s="363">
        <f t="shared" si="184"/>
        <v>-1007.5158000000105</v>
      </c>
      <c r="G436" s="363">
        <f t="shared" si="185"/>
        <v>138987.71580000001</v>
      </c>
      <c r="H436" s="364">
        <f t="shared" si="186"/>
        <v>-7.2489557382884214E-3</v>
      </c>
      <c r="I436" s="363"/>
    </row>
    <row r="437" spans="2:9" ht="15" customHeight="1" x14ac:dyDescent="0.25">
      <c r="B437" s="620">
        <v>42642</v>
      </c>
      <c r="C437" s="362">
        <v>7978</v>
      </c>
      <c r="D437" s="621">
        <v>16.036825</v>
      </c>
      <c r="E437" s="363">
        <v>15.9</v>
      </c>
      <c r="F437" s="363">
        <f t="shared" si="184"/>
        <v>-1091.5898499999998</v>
      </c>
      <c r="G437" s="363">
        <f t="shared" si="185"/>
        <v>127941.78985</v>
      </c>
      <c r="H437" s="364">
        <f t="shared" si="186"/>
        <v>-8.5319257396648009E-3</v>
      </c>
      <c r="I437" s="363"/>
    </row>
    <row r="438" spans="2:9" x14ac:dyDescent="0.25">
      <c r="B438" s="620">
        <v>42642</v>
      </c>
      <c r="C438" s="362">
        <v>7764</v>
      </c>
      <c r="D438" s="621">
        <v>16.038399999999999</v>
      </c>
      <c r="E438" s="363">
        <v>15.9</v>
      </c>
      <c r="F438" s="363">
        <f t="shared" si="184"/>
        <v>-1074.5375999999919</v>
      </c>
      <c r="G438" s="363">
        <f t="shared" si="185"/>
        <v>124522.1376</v>
      </c>
      <c r="H438" s="364">
        <f t="shared" si="186"/>
        <v>-8.6292897047086353E-3</v>
      </c>
      <c r="I438" s="363"/>
    </row>
    <row r="439" spans="2:9" x14ac:dyDescent="0.25">
      <c r="B439" s="620">
        <v>42642</v>
      </c>
      <c r="C439" s="362">
        <v>8178</v>
      </c>
      <c r="D439" s="621">
        <v>16.019235999999999</v>
      </c>
      <c r="E439" s="363">
        <v>15.9</v>
      </c>
      <c r="F439" s="363">
        <f t="shared" si="184"/>
        <v>-975.11200799999187</v>
      </c>
      <c r="G439" s="363">
        <f t="shared" si="185"/>
        <v>131005.31200799999</v>
      </c>
      <c r="H439" s="364">
        <f t="shared" si="186"/>
        <v>-7.4433012910228059E-3</v>
      </c>
      <c r="I439" s="363" t="s">
        <v>286</v>
      </c>
    </row>
    <row r="440" spans="2:9" x14ac:dyDescent="0.25">
      <c r="B440" s="620">
        <v>42643</v>
      </c>
      <c r="C440" s="362">
        <v>8178</v>
      </c>
      <c r="D440" s="621">
        <v>16.019235999999999</v>
      </c>
      <c r="E440" s="363">
        <v>15.81</v>
      </c>
      <c r="F440" s="363">
        <f>C440*(E440-D440)</f>
        <v>-1711.1320079999907</v>
      </c>
      <c r="G440" s="363">
        <f>IF(C440=0, 0,D440*C440)</f>
        <v>131005.31200799999</v>
      </c>
      <c r="H440" s="364">
        <f>IF(C440=0, D440, (E440-D440)/D440)</f>
        <v>-1.3061546755413234E-2</v>
      </c>
      <c r="I440" s="363"/>
    </row>
    <row r="441" spans="2:9" x14ac:dyDescent="0.25">
      <c r="B441" s="620">
        <v>42646</v>
      </c>
      <c r="C441" s="362">
        <v>8178</v>
      </c>
      <c r="D441" s="621">
        <v>16.019235999999999</v>
      </c>
      <c r="E441" s="363">
        <v>15.98</v>
      </c>
      <c r="F441" s="363">
        <f t="shared" ref="F441:F450" si="187">C441*(E441-D441)</f>
        <v>-320.8720079999913</v>
      </c>
      <c r="G441" s="363">
        <f t="shared" ref="G441:G450" si="188">IF(C441=0, 0,D441*C441)</f>
        <v>131005.31200799999</v>
      </c>
      <c r="H441" s="364">
        <f t="shared" ref="H441:H450" si="189">IF(C441=0, D441, (E441-D441)/D441)</f>
        <v>-2.4493053226757469E-3</v>
      </c>
      <c r="I441" s="363"/>
    </row>
    <row r="442" spans="2:9" x14ac:dyDescent="0.25">
      <c r="B442" s="620">
        <v>42647</v>
      </c>
      <c r="C442" s="362">
        <v>8678</v>
      </c>
      <c r="D442" s="621">
        <v>16.010061</v>
      </c>
      <c r="E442" s="363">
        <v>15.63</v>
      </c>
      <c r="F442" s="363">
        <f t="shared" si="187"/>
        <v>-3298.169357999996</v>
      </c>
      <c r="G442" s="363">
        <f t="shared" si="188"/>
        <v>138935.309358</v>
      </c>
      <c r="H442" s="364">
        <f t="shared" si="189"/>
        <v>-2.3738885192255015E-2</v>
      </c>
      <c r="I442" s="363"/>
    </row>
    <row r="443" spans="2:9" x14ac:dyDescent="0.25">
      <c r="B443" s="620">
        <v>42647</v>
      </c>
      <c r="C443" s="362">
        <v>9178</v>
      </c>
      <c r="D443" s="621">
        <v>15.988811</v>
      </c>
      <c r="E443" s="363">
        <v>15.63</v>
      </c>
      <c r="F443" s="363">
        <f t="shared" si="187"/>
        <v>-3293.1673579999938</v>
      </c>
      <c r="G443" s="363">
        <f t="shared" si="188"/>
        <v>146745.30735799999</v>
      </c>
      <c r="H443" s="364">
        <f t="shared" si="189"/>
        <v>-2.2441381038277287E-2</v>
      </c>
      <c r="I443" s="363"/>
    </row>
    <row r="444" spans="2:9" x14ac:dyDescent="0.25">
      <c r="B444" s="620">
        <v>42648</v>
      </c>
      <c r="C444" s="362">
        <v>8178</v>
      </c>
      <c r="D444" s="621">
        <v>15.977725</v>
      </c>
      <c r="E444" s="363">
        <v>16.12</v>
      </c>
      <c r="F444" s="363">
        <f t="shared" si="187"/>
        <v>1163.524950000012</v>
      </c>
      <c r="G444" s="363">
        <f t="shared" si="188"/>
        <v>130665.83504999999</v>
      </c>
      <c r="H444" s="364">
        <f t="shared" si="189"/>
        <v>8.904584351026288E-3</v>
      </c>
      <c r="I444" s="363">
        <v>15.75</v>
      </c>
    </row>
    <row r="445" spans="2:9" x14ac:dyDescent="0.25">
      <c r="B445" s="620">
        <v>42648</v>
      </c>
      <c r="C445" s="383">
        <v>7678</v>
      </c>
      <c r="D445" s="622">
        <v>15.951529000000001</v>
      </c>
      <c r="E445" s="363">
        <v>16.12</v>
      </c>
      <c r="F445" s="363">
        <f t="shared" si="187"/>
        <v>1293.5203380000021</v>
      </c>
      <c r="G445" s="363">
        <f t="shared" si="188"/>
        <v>122475.839662</v>
      </c>
      <c r="H445" s="364">
        <f t="shared" si="189"/>
        <v>1.0561432700275958E-2</v>
      </c>
      <c r="I445" s="363" t="s">
        <v>290</v>
      </c>
    </row>
    <row r="446" spans="2:9" x14ac:dyDescent="0.25">
      <c r="B446" s="620">
        <v>42649</v>
      </c>
      <c r="C446" s="362">
        <v>8678</v>
      </c>
      <c r="D446" s="621">
        <v>15.941579000000001</v>
      </c>
      <c r="E446" s="363">
        <v>16.079999999999998</v>
      </c>
      <c r="F446" s="363">
        <f t="shared" si="187"/>
        <v>1201.2174379999781</v>
      </c>
      <c r="G446" s="363">
        <f t="shared" si="188"/>
        <v>138341.022562</v>
      </c>
      <c r="H446" s="364">
        <f t="shared" si="189"/>
        <v>8.683016908174369E-3</v>
      </c>
      <c r="I446" s="363"/>
    </row>
    <row r="447" spans="2:9" x14ac:dyDescent="0.25">
      <c r="B447" s="620">
        <v>42650</v>
      </c>
      <c r="C447" s="362">
        <v>8978</v>
      </c>
      <c r="D447" s="621">
        <v>15.935176999999999</v>
      </c>
      <c r="E447" s="363">
        <v>15.56</v>
      </c>
      <c r="F447" s="363">
        <f t="shared" si="187"/>
        <v>-3368.3391059999908</v>
      </c>
      <c r="G447" s="363">
        <f t="shared" si="188"/>
        <v>143066.01910599999</v>
      </c>
      <c r="H447" s="364">
        <f t="shared" si="189"/>
        <v>-2.354394933925108E-2</v>
      </c>
      <c r="I447" s="363"/>
    </row>
    <row r="448" spans="2:9" x14ac:dyDescent="0.25">
      <c r="B448" s="620">
        <v>42650</v>
      </c>
      <c r="C448" s="362">
        <v>9278</v>
      </c>
      <c r="D448" s="621">
        <v>15.923692000000001</v>
      </c>
      <c r="E448" s="363">
        <v>15.56</v>
      </c>
      <c r="F448" s="363">
        <f t="shared" si="187"/>
        <v>-3374.3343760000034</v>
      </c>
      <c r="G448" s="363">
        <f t="shared" si="188"/>
        <v>147740.01437600001</v>
      </c>
      <c r="H448" s="364">
        <f t="shared" si="189"/>
        <v>-2.2839678134945106E-2</v>
      </c>
      <c r="I448" s="363">
        <v>15.8</v>
      </c>
    </row>
    <row r="449" spans="2:9" x14ac:dyDescent="0.25">
      <c r="B449" s="620">
        <v>42653</v>
      </c>
      <c r="C449" s="383">
        <v>9678</v>
      </c>
      <c r="D449" s="622">
        <v>15.9153</v>
      </c>
      <c r="E449" s="363">
        <v>15.72</v>
      </c>
      <c r="F449" s="363">
        <f t="shared" si="187"/>
        <v>-1890.1133999999961</v>
      </c>
      <c r="G449" s="363">
        <f t="shared" si="188"/>
        <v>154028.27340000001</v>
      </c>
      <c r="H449" s="364">
        <f t="shared" si="189"/>
        <v>-1.2271210721758281E-2</v>
      </c>
      <c r="I449" s="363"/>
    </row>
    <row r="450" spans="2:9" x14ac:dyDescent="0.25">
      <c r="B450" s="620">
        <v>42661</v>
      </c>
      <c r="C450" s="383">
        <v>10000</v>
      </c>
      <c r="D450" s="622">
        <v>15.901258</v>
      </c>
      <c r="E450" s="363">
        <v>14.2</v>
      </c>
      <c r="F450" s="363">
        <f t="shared" si="187"/>
        <v>-17012.580000000009</v>
      </c>
      <c r="G450" s="363">
        <f t="shared" si="188"/>
        <v>159012.58000000002</v>
      </c>
      <c r="H450" s="364">
        <f t="shared" si="189"/>
        <v>-0.10698889358313669</v>
      </c>
      <c r="I450" s="363"/>
    </row>
    <row r="451" spans="2:9" x14ac:dyDescent="0.25">
      <c r="B451" s="620">
        <v>42663</v>
      </c>
      <c r="C451" s="362">
        <v>10000</v>
      </c>
      <c r="D451" s="621">
        <v>15.901258</v>
      </c>
      <c r="E451" s="363">
        <v>14.7</v>
      </c>
      <c r="F451" s="363">
        <f>C451*(E451-D451)</f>
        <v>-12012.580000000011</v>
      </c>
      <c r="G451" s="363">
        <f>IF(C451=0, 0,D451*C451)</f>
        <v>159012.58000000002</v>
      </c>
      <c r="H451" s="365">
        <f>IF(C451=0, D451, (E451-D451)/D451)</f>
        <v>-7.5544840540289399E-2</v>
      </c>
      <c r="I451" s="363"/>
    </row>
    <row r="452" spans="2:9" x14ac:dyDescent="0.25">
      <c r="B452" s="620">
        <v>42668</v>
      </c>
      <c r="C452" s="362">
        <v>11000</v>
      </c>
      <c r="D452" s="621">
        <v>15.74728</v>
      </c>
      <c r="E452" s="363">
        <v>14.18</v>
      </c>
      <c r="F452" s="363">
        <f>C452*(E452-D452)</f>
        <v>-17240.080000000002</v>
      </c>
      <c r="G452" s="363">
        <f>IF(C452=0, 0,D452*C452)</f>
        <v>173220.08</v>
      </c>
      <c r="H452" s="365">
        <f>IF(C452=0, D452, (E452-D452)/D452)</f>
        <v>-9.9527029429844413E-2</v>
      </c>
      <c r="I452" s="363"/>
    </row>
    <row r="453" spans="2:9" x14ac:dyDescent="0.25">
      <c r="B453" s="620">
        <v>42670</v>
      </c>
      <c r="C453" s="362">
        <v>11500</v>
      </c>
      <c r="D453" s="621">
        <v>15.679137000000001</v>
      </c>
      <c r="E453" s="363">
        <v>13.95</v>
      </c>
      <c r="F453" s="363">
        <f>C453*(E453-D453)</f>
        <v>-19885.075500000017</v>
      </c>
      <c r="G453" s="363">
        <f>IF(C453=0, 0,D453*C453)</f>
        <v>180310.07550000001</v>
      </c>
      <c r="H453" s="365">
        <f>IF(C453=0, D453, (E453-D453)/D453)</f>
        <v>-0.11028266415428357</v>
      </c>
      <c r="I453" s="363"/>
    </row>
    <row r="454" spans="2:9" x14ac:dyDescent="0.25">
      <c r="B454" s="620">
        <v>42670</v>
      </c>
      <c r="C454" s="362">
        <v>12000</v>
      </c>
      <c r="D454" s="621">
        <v>15.6113</v>
      </c>
      <c r="E454" s="363">
        <v>13.95</v>
      </c>
      <c r="F454" s="363">
        <f t="shared" ref="F454:F461" si="190">C454*(E454-D454)</f>
        <v>-19935.600000000009</v>
      </c>
      <c r="G454" s="363">
        <f t="shared" ref="G454:G461" si="191">IF(C454=0, 0,D454*C454)</f>
        <v>187335.6</v>
      </c>
      <c r="H454" s="365">
        <f t="shared" ref="H454:H461" si="192">IF(C454=0, D454, (E454-D454)/D454)</f>
        <v>-0.10641650599245422</v>
      </c>
      <c r="I454" s="363"/>
    </row>
    <row r="455" spans="2:9" x14ac:dyDescent="0.25">
      <c r="B455" s="620">
        <v>42670</v>
      </c>
      <c r="C455" s="362">
        <v>12500</v>
      </c>
      <c r="D455" s="621">
        <v>15.542006000000001</v>
      </c>
      <c r="E455" s="363">
        <v>13.95</v>
      </c>
      <c r="F455" s="363">
        <f t="shared" si="190"/>
        <v>-19900.075000000015</v>
      </c>
      <c r="G455" s="363">
        <f t="shared" si="191"/>
        <v>194275.07500000001</v>
      </c>
      <c r="H455" s="365">
        <f t="shared" si="192"/>
        <v>-0.10243246592492637</v>
      </c>
      <c r="I455" s="363"/>
    </row>
    <row r="456" spans="2:9" x14ac:dyDescent="0.25">
      <c r="B456" s="620">
        <v>42671</v>
      </c>
      <c r="C456" s="362">
        <v>12500</v>
      </c>
      <c r="D456" s="621">
        <v>15.536431</v>
      </c>
      <c r="E456" s="363">
        <v>13.72</v>
      </c>
      <c r="F456" s="363">
        <f t="shared" si="190"/>
        <v>-22705.387499999997</v>
      </c>
      <c r="G456" s="363">
        <f t="shared" si="191"/>
        <v>194205.38750000001</v>
      </c>
      <c r="H456" s="365">
        <f t="shared" si="192"/>
        <v>-0.11691430290521676</v>
      </c>
      <c r="I456" s="363"/>
    </row>
    <row r="457" spans="2:9" x14ac:dyDescent="0.25">
      <c r="B457" s="620">
        <v>42674</v>
      </c>
      <c r="C457" s="362">
        <v>12500</v>
      </c>
      <c r="D457" s="621">
        <v>15.5313</v>
      </c>
      <c r="E457" s="363">
        <v>13.18</v>
      </c>
      <c r="F457" s="363">
        <f t="shared" si="190"/>
        <v>-29391.250000000004</v>
      </c>
      <c r="G457" s="363">
        <f t="shared" si="191"/>
        <v>194141.25</v>
      </c>
      <c r="H457" s="365">
        <f t="shared" si="192"/>
        <v>-0.15139106192012261</v>
      </c>
      <c r="I457" s="363"/>
    </row>
    <row r="458" spans="2:9" ht="15" customHeight="1" x14ac:dyDescent="0.25">
      <c r="B458" s="620">
        <v>42676</v>
      </c>
      <c r="C458" s="362">
        <v>12500</v>
      </c>
      <c r="D458" s="621">
        <v>15.528746</v>
      </c>
      <c r="E458" s="363">
        <v>12.78</v>
      </c>
      <c r="F458" s="363">
        <f t="shared" si="190"/>
        <v>-34359.325000000004</v>
      </c>
      <c r="G458" s="363">
        <f t="shared" si="191"/>
        <v>194109.32500000001</v>
      </c>
      <c r="H458" s="364">
        <f t="shared" si="192"/>
        <v>-0.17701017197396368</v>
      </c>
      <c r="I458" s="363"/>
    </row>
    <row r="459" spans="2:9" x14ac:dyDescent="0.25">
      <c r="B459" s="620">
        <v>42677</v>
      </c>
      <c r="C459" s="362">
        <v>10000</v>
      </c>
      <c r="D459" s="621">
        <v>15.813000000000001</v>
      </c>
      <c r="E459" s="363">
        <v>14.15</v>
      </c>
      <c r="F459" s="363">
        <f t="shared" si="190"/>
        <v>-16630.000000000004</v>
      </c>
      <c r="G459" s="363">
        <f t="shared" si="191"/>
        <v>158130</v>
      </c>
      <c r="H459" s="364">
        <f t="shared" si="192"/>
        <v>-0.10516663504711314</v>
      </c>
      <c r="I459" s="363"/>
    </row>
    <row r="460" spans="2:9" x14ac:dyDescent="0.25">
      <c r="B460" s="620">
        <v>42678</v>
      </c>
      <c r="C460" s="362">
        <v>11000</v>
      </c>
      <c r="D460" s="621">
        <v>15.62</v>
      </c>
      <c r="E460" s="363">
        <v>13.69</v>
      </c>
      <c r="F460" s="363">
        <f t="shared" si="190"/>
        <v>-21229.999999999996</v>
      </c>
      <c r="G460" s="363">
        <f t="shared" si="191"/>
        <v>171820</v>
      </c>
      <c r="H460" s="364">
        <f t="shared" si="192"/>
        <v>-0.12355953905249678</v>
      </c>
      <c r="I460" s="363"/>
    </row>
    <row r="461" spans="2:9" x14ac:dyDescent="0.25">
      <c r="B461" s="620">
        <v>42701</v>
      </c>
      <c r="C461" s="362">
        <v>7678</v>
      </c>
      <c r="D461" s="621">
        <v>15.484220000000001</v>
      </c>
      <c r="E461" s="363">
        <v>16.28</v>
      </c>
      <c r="F461" s="363">
        <f t="shared" si="190"/>
        <v>6109.9988400000047</v>
      </c>
      <c r="G461" s="363">
        <f t="shared" si="191"/>
        <v>118887.84116000001</v>
      </c>
      <c r="H461" s="364">
        <f t="shared" si="192"/>
        <v>5.1392966516879801E-2</v>
      </c>
      <c r="I461" s="363" t="s">
        <v>301</v>
      </c>
    </row>
    <row r="462" spans="2:9" x14ac:dyDescent="0.25">
      <c r="B462" s="620">
        <v>42702</v>
      </c>
      <c r="C462" s="362">
        <v>8178</v>
      </c>
      <c r="D462" s="621">
        <v>15.519399999999999</v>
      </c>
      <c r="E462" s="363">
        <v>15.62</v>
      </c>
      <c r="F462" s="363">
        <f t="shared" ref="F462:F479" si="193">C462*(E462-D462)</f>
        <v>822.70680000000016</v>
      </c>
      <c r="G462" s="363">
        <f t="shared" ref="G462:G479" si="194">IF(C462=0, 0,D462*C462)</f>
        <v>126917.6532</v>
      </c>
      <c r="H462" s="364">
        <f t="shared" ref="H462:H479" si="195">IF(C462=0, D462, (E462-D462)/D462)</f>
        <v>6.4822093637640649E-3</v>
      </c>
      <c r="I462" s="363" t="s">
        <v>306</v>
      </c>
    </row>
    <row r="463" spans="2:9" x14ac:dyDescent="0.25">
      <c r="B463" s="620">
        <v>42702</v>
      </c>
      <c r="C463" s="362">
        <v>8678</v>
      </c>
      <c r="D463" s="621">
        <v>15.5304</v>
      </c>
      <c r="E463" s="363">
        <v>15.54</v>
      </c>
      <c r="F463" s="363">
        <f t="shared" si="193"/>
        <v>83.308799999990825</v>
      </c>
      <c r="G463" s="363">
        <f t="shared" si="194"/>
        <v>134772.8112</v>
      </c>
      <c r="H463" s="364">
        <f t="shared" si="195"/>
        <v>6.1814248184199655E-4</v>
      </c>
      <c r="I463" s="363"/>
    </row>
    <row r="464" spans="2:9" x14ac:dyDescent="0.25">
      <c r="B464" s="620">
        <v>42703</v>
      </c>
      <c r="C464" s="362">
        <v>8978</v>
      </c>
      <c r="D464" s="621">
        <v>15.5053</v>
      </c>
      <c r="E464" s="363">
        <v>14.95</v>
      </c>
      <c r="F464" s="363">
        <f t="shared" si="193"/>
        <v>-4985.4834000000074</v>
      </c>
      <c r="G464" s="363">
        <f t="shared" si="194"/>
        <v>139206.5834</v>
      </c>
      <c r="H464" s="364">
        <f t="shared" si="195"/>
        <v>-3.5813560524465882E-2</v>
      </c>
      <c r="I464" s="363"/>
    </row>
    <row r="465" spans="1:10" x14ac:dyDescent="0.25">
      <c r="B465" s="620">
        <v>42704</v>
      </c>
      <c r="C465" s="362">
        <v>5178</v>
      </c>
      <c r="D465" s="621">
        <v>14.3947</v>
      </c>
      <c r="E465" s="363">
        <v>18.059999999999999</v>
      </c>
      <c r="F465" s="363">
        <f t="shared" si="193"/>
        <v>18978.923399999992</v>
      </c>
      <c r="G465" s="363">
        <f t="shared" si="194"/>
        <v>74535.756600000008</v>
      </c>
      <c r="H465" s="364">
        <f t="shared" si="195"/>
        <v>0.25462843963403187</v>
      </c>
      <c r="I465" s="363"/>
    </row>
    <row r="466" spans="1:10" x14ac:dyDescent="0.25">
      <c r="B466" s="620">
        <v>42705</v>
      </c>
      <c r="C466" s="362">
        <v>4678</v>
      </c>
      <c r="D466" s="621">
        <v>13.905799999999999</v>
      </c>
      <c r="E466" s="363">
        <v>17.89</v>
      </c>
      <c r="F466" s="363">
        <f t="shared" si="193"/>
        <v>18638.087600000006</v>
      </c>
      <c r="G466" s="363">
        <f t="shared" si="194"/>
        <v>65051.332399999999</v>
      </c>
      <c r="H466" s="364">
        <f t="shared" si="195"/>
        <v>0.28651354111234173</v>
      </c>
      <c r="I466" s="363"/>
    </row>
    <row r="467" spans="1:10" x14ac:dyDescent="0.25">
      <c r="B467" s="620">
        <v>42705</v>
      </c>
      <c r="C467" s="362">
        <v>5000</v>
      </c>
      <c r="D467" s="621">
        <v>14.1645</v>
      </c>
      <c r="E467" s="363">
        <v>17.89</v>
      </c>
      <c r="F467" s="363">
        <f t="shared" si="193"/>
        <v>18627.5</v>
      </c>
      <c r="G467" s="363">
        <f t="shared" si="194"/>
        <v>70822.5</v>
      </c>
      <c r="H467" s="364">
        <f t="shared" si="195"/>
        <v>0.2630166966712556</v>
      </c>
      <c r="I467" s="363"/>
    </row>
    <row r="468" spans="1:10" x14ac:dyDescent="0.25">
      <c r="B468" s="620">
        <v>42708</v>
      </c>
      <c r="C468" s="362">
        <v>5000</v>
      </c>
      <c r="D468" s="621">
        <v>14.1645</v>
      </c>
      <c r="E468" s="363">
        <v>18.2</v>
      </c>
      <c r="F468" s="363">
        <f t="shared" si="193"/>
        <v>20177.499999999996</v>
      </c>
      <c r="G468" s="363">
        <f t="shared" si="194"/>
        <v>70822.5</v>
      </c>
      <c r="H468" s="364">
        <f t="shared" si="195"/>
        <v>0.28490239683716323</v>
      </c>
      <c r="I468" s="363"/>
    </row>
    <row r="469" spans="1:10" x14ac:dyDescent="0.25">
      <c r="B469" s="620">
        <v>42711</v>
      </c>
      <c r="C469" s="362">
        <v>5000</v>
      </c>
      <c r="D469" s="621">
        <v>14.143514</v>
      </c>
      <c r="E469" s="363">
        <v>18.420000000000002</v>
      </c>
      <c r="F469" s="363">
        <f t="shared" si="193"/>
        <v>21382.430000000011</v>
      </c>
      <c r="G469" s="363">
        <f t="shared" si="194"/>
        <v>70717.569999999992</v>
      </c>
      <c r="H469" s="364">
        <f t="shared" si="195"/>
        <v>0.3023637548631834</v>
      </c>
      <c r="I469" s="363"/>
    </row>
    <row r="470" spans="1:10" x14ac:dyDescent="0.25">
      <c r="B470" s="620">
        <v>42713</v>
      </c>
      <c r="C470" s="362">
        <v>5000</v>
      </c>
      <c r="D470" s="621">
        <v>14.127554</v>
      </c>
      <c r="E470" s="363">
        <v>18.25</v>
      </c>
      <c r="F470" s="363">
        <f t="shared" si="193"/>
        <v>20612.23</v>
      </c>
      <c r="G470" s="363">
        <f t="shared" si="194"/>
        <v>70637.77</v>
      </c>
      <c r="H470" s="364">
        <f t="shared" si="195"/>
        <v>0.29180182216964096</v>
      </c>
      <c r="I470" s="363"/>
    </row>
    <row r="471" spans="1:10" x14ac:dyDescent="0.25">
      <c r="B471" s="620">
        <v>42716</v>
      </c>
      <c r="C471" s="362">
        <v>5000</v>
      </c>
      <c r="D471" s="621">
        <v>14.0276</v>
      </c>
      <c r="E471" s="363">
        <v>18.489999999999998</v>
      </c>
      <c r="F471" s="363">
        <f t="shared" si="193"/>
        <v>22311.999999999993</v>
      </c>
      <c r="G471" s="363">
        <f t="shared" si="194"/>
        <v>70138</v>
      </c>
      <c r="H471" s="364">
        <f t="shared" si="195"/>
        <v>0.3181157147338104</v>
      </c>
      <c r="I471" s="363" t="s">
        <v>185</v>
      </c>
    </row>
    <row r="472" spans="1:10" x14ac:dyDescent="0.25">
      <c r="B472" s="620">
        <v>42718</v>
      </c>
      <c r="C472" s="362">
        <v>5000</v>
      </c>
      <c r="D472" s="621">
        <v>14.025399999999999</v>
      </c>
      <c r="E472" s="363">
        <v>18.2</v>
      </c>
      <c r="F472" s="363">
        <f t="shared" si="193"/>
        <v>20873</v>
      </c>
      <c r="G472" s="363">
        <f t="shared" si="194"/>
        <v>70127</v>
      </c>
      <c r="H472" s="364">
        <f t="shared" si="195"/>
        <v>0.29764569994438661</v>
      </c>
      <c r="I472" s="363">
        <v>13.8</v>
      </c>
    </row>
    <row r="473" spans="1:10" x14ac:dyDescent="0.25">
      <c r="B473" s="620">
        <v>42726</v>
      </c>
      <c r="C473" s="362">
        <v>5000</v>
      </c>
      <c r="D473" s="621">
        <v>14.025399999999999</v>
      </c>
      <c r="E473" s="363">
        <v>18.04</v>
      </c>
      <c r="F473" s="363">
        <f t="shared" si="193"/>
        <v>20073</v>
      </c>
      <c r="G473" s="363">
        <f t="shared" si="194"/>
        <v>70127</v>
      </c>
      <c r="H473" s="364">
        <f t="shared" si="195"/>
        <v>0.28623782565916123</v>
      </c>
      <c r="I473" s="363"/>
    </row>
    <row r="474" spans="1:10" x14ac:dyDescent="0.25">
      <c r="B474" s="620">
        <v>42733</v>
      </c>
      <c r="C474" s="362">
        <v>6000</v>
      </c>
      <c r="D474" s="621">
        <v>14.627558000000001</v>
      </c>
      <c r="E474" s="363">
        <v>17.57</v>
      </c>
      <c r="F474" s="443">
        <f t="shared" si="193"/>
        <v>17654.651999999998</v>
      </c>
      <c r="G474" s="363">
        <f t="shared" si="194"/>
        <v>87765.347999999998</v>
      </c>
      <c r="H474" s="365">
        <f t="shared" si="195"/>
        <v>0.20115743174629694</v>
      </c>
      <c r="I474" s="363"/>
      <c r="J474" s="3"/>
    </row>
    <row r="475" spans="1:10" x14ac:dyDescent="0.25">
      <c r="B475" s="620">
        <v>42734</v>
      </c>
      <c r="C475" s="362">
        <v>6000</v>
      </c>
      <c r="D475" s="621">
        <v>14.562623</v>
      </c>
      <c r="E475" s="363">
        <v>17.309999999999999</v>
      </c>
      <c r="F475" s="443">
        <f t="shared" si="193"/>
        <v>16484.261999999992</v>
      </c>
      <c r="G475" s="363">
        <f t="shared" si="194"/>
        <v>87375.737999999998</v>
      </c>
      <c r="H475" s="365">
        <f t="shared" si="195"/>
        <v>0.18865948806063293</v>
      </c>
      <c r="I475" s="363"/>
    </row>
    <row r="476" spans="1:10" x14ac:dyDescent="0.25">
      <c r="B476" s="620">
        <v>42739</v>
      </c>
      <c r="C476" s="362">
        <v>5500</v>
      </c>
      <c r="D476" s="621">
        <v>14.242898</v>
      </c>
      <c r="E476" s="363">
        <v>18.05</v>
      </c>
      <c r="F476" s="443">
        <f t="shared" si="193"/>
        <v>20939.061000000002</v>
      </c>
      <c r="G476" s="363">
        <f t="shared" si="194"/>
        <v>78335.938999999998</v>
      </c>
      <c r="H476" s="365">
        <f t="shared" si="195"/>
        <v>0.26729827033796072</v>
      </c>
      <c r="I476" s="363"/>
    </row>
    <row r="477" spans="1:10" x14ac:dyDescent="0.25">
      <c r="B477" s="620">
        <v>42741</v>
      </c>
      <c r="C477" s="362">
        <v>6000</v>
      </c>
      <c r="D477" s="621">
        <v>14.54599</v>
      </c>
      <c r="E477" s="363">
        <v>17.98</v>
      </c>
      <c r="F477" s="443">
        <f t="shared" si="193"/>
        <v>20604.060000000005</v>
      </c>
      <c r="G477" s="363">
        <f t="shared" si="194"/>
        <v>87275.94</v>
      </c>
      <c r="H477" s="365">
        <f t="shared" si="195"/>
        <v>0.23607949682352322</v>
      </c>
      <c r="I477" s="363"/>
    </row>
    <row r="478" spans="1:10" ht="15" customHeight="1" x14ac:dyDescent="0.25">
      <c r="B478" s="620">
        <v>42748</v>
      </c>
      <c r="C478" s="362">
        <v>6000</v>
      </c>
      <c r="D478" s="621">
        <v>14.527687999999999</v>
      </c>
      <c r="E478" s="363">
        <v>17.46</v>
      </c>
      <c r="F478" s="443">
        <f t="shared" si="193"/>
        <v>17593.872000000007</v>
      </c>
      <c r="G478" s="363">
        <f t="shared" si="194"/>
        <v>87166.127999999997</v>
      </c>
      <c r="H478" s="365">
        <f t="shared" si="195"/>
        <v>0.20184299112150547</v>
      </c>
      <c r="I478" s="363"/>
    </row>
    <row r="479" spans="1:10" x14ac:dyDescent="0.25">
      <c r="A479" s="226" t="s">
        <v>330</v>
      </c>
      <c r="B479" s="620">
        <v>42754</v>
      </c>
      <c r="C479" s="362">
        <v>6000</v>
      </c>
      <c r="D479" s="621">
        <v>14.527687999999999</v>
      </c>
      <c r="E479" s="363">
        <v>17.27</v>
      </c>
      <c r="F479" s="443">
        <f t="shared" si="193"/>
        <v>16453.871999999999</v>
      </c>
      <c r="G479" s="363">
        <f t="shared" si="194"/>
        <v>87166.127999999997</v>
      </c>
      <c r="H479" s="365">
        <f t="shared" si="195"/>
        <v>0.1887645164185795</v>
      </c>
      <c r="I479" s="363"/>
    </row>
    <row r="480" spans="1:10" x14ac:dyDescent="0.25">
      <c r="A480" t="s">
        <v>330</v>
      </c>
      <c r="B480" s="620">
        <v>42760</v>
      </c>
      <c r="C480" s="362">
        <v>6000</v>
      </c>
      <c r="D480" s="621">
        <v>14.527687999999999</v>
      </c>
      <c r="E480" s="363">
        <v>17.75</v>
      </c>
      <c r="F480" s="443">
        <f t="shared" ref="F480:F494" si="196">C480*(E480-D480)</f>
        <v>19333.872000000003</v>
      </c>
      <c r="G480" s="363">
        <f t="shared" ref="G480:G494" si="197">IF(C480=0, 0,D480*C480)</f>
        <v>87166.127999999997</v>
      </c>
      <c r="H480" s="365">
        <f t="shared" ref="H480:H494" si="198">IF(C480=0, D480, (E480-D480)/D480)</f>
        <v>0.22180487356281334</v>
      </c>
      <c r="I480" s="363"/>
    </row>
    <row r="481" spans="1:9" x14ac:dyDescent="0.25">
      <c r="A481" t="s">
        <v>362</v>
      </c>
      <c r="B481" s="620">
        <v>42761</v>
      </c>
      <c r="C481" s="362">
        <v>6000</v>
      </c>
      <c r="D481" s="621">
        <v>14.50817</v>
      </c>
      <c r="E481" s="363">
        <v>17.75</v>
      </c>
      <c r="F481" s="443">
        <f t="shared" si="196"/>
        <v>19450.98</v>
      </c>
      <c r="G481" s="363">
        <f t="shared" si="197"/>
        <v>87049.02</v>
      </c>
      <c r="H481" s="365">
        <f t="shared" si="198"/>
        <v>0.22344858104088938</v>
      </c>
      <c r="I481" s="363"/>
    </row>
    <row r="482" spans="1:9" x14ac:dyDescent="0.25">
      <c r="A482" t="s">
        <v>365</v>
      </c>
      <c r="B482" s="620">
        <v>42762</v>
      </c>
      <c r="C482" s="362">
        <v>6100</v>
      </c>
      <c r="D482" s="621">
        <v>14.553610000000001</v>
      </c>
      <c r="E482" s="363">
        <v>17.41</v>
      </c>
      <c r="F482" s="443">
        <f t="shared" si="196"/>
        <v>17423.978999999996</v>
      </c>
      <c r="G482" s="363">
        <f t="shared" si="197"/>
        <v>88777.021000000008</v>
      </c>
      <c r="H482" s="365">
        <f t="shared" si="198"/>
        <v>0.19626676817641803</v>
      </c>
      <c r="I482" s="363"/>
    </row>
    <row r="483" spans="1:9" x14ac:dyDescent="0.25">
      <c r="A483" t="s">
        <v>375</v>
      </c>
      <c r="B483" s="620">
        <v>42765</v>
      </c>
      <c r="C483" s="362">
        <v>6900</v>
      </c>
      <c r="D483" s="621">
        <v>14.793915999999999</v>
      </c>
      <c r="E483" s="363">
        <v>16.53</v>
      </c>
      <c r="F483" s="443">
        <f t="shared" si="196"/>
        <v>11978.979600000011</v>
      </c>
      <c r="G483" s="363">
        <f t="shared" si="197"/>
        <v>102078.02039999999</v>
      </c>
      <c r="H483" s="365">
        <f t="shared" si="198"/>
        <v>0.11735121383682331</v>
      </c>
      <c r="I483" s="363"/>
    </row>
    <row r="484" spans="1:9" x14ac:dyDescent="0.25">
      <c r="A484" t="s">
        <v>376</v>
      </c>
      <c r="B484" s="620">
        <v>42766</v>
      </c>
      <c r="C484" s="362">
        <v>6900</v>
      </c>
      <c r="D484" s="621">
        <v>14.783497000000001</v>
      </c>
      <c r="E484" s="363">
        <v>16.75</v>
      </c>
      <c r="F484" s="443">
        <f t="shared" si="196"/>
        <v>13568.870699999996</v>
      </c>
      <c r="G484" s="363">
        <f t="shared" si="197"/>
        <v>102006.1293</v>
      </c>
      <c r="H484" s="365">
        <f t="shared" si="198"/>
        <v>0.13302015078029233</v>
      </c>
      <c r="I484" s="363"/>
    </row>
    <row r="485" spans="1:9" x14ac:dyDescent="0.25">
      <c r="B485" s="620">
        <v>42767</v>
      </c>
      <c r="C485" s="362">
        <v>6000</v>
      </c>
      <c r="D485" s="621">
        <v>14.442175000000001</v>
      </c>
      <c r="E485" s="363">
        <v>16.59</v>
      </c>
      <c r="F485" s="443">
        <f t="shared" si="196"/>
        <v>12886.949999999995</v>
      </c>
      <c r="G485" s="363">
        <f t="shared" si="197"/>
        <v>86653.05</v>
      </c>
      <c r="H485" s="365">
        <f t="shared" si="198"/>
        <v>0.14871894295699914</v>
      </c>
      <c r="I485" s="363"/>
    </row>
    <row r="486" spans="1:9" x14ac:dyDescent="0.25">
      <c r="B486" s="620">
        <v>42767</v>
      </c>
      <c r="C486" s="362">
        <v>7000</v>
      </c>
      <c r="D486" s="621">
        <v>14.725436</v>
      </c>
      <c r="E486" s="363">
        <v>16.59</v>
      </c>
      <c r="F486" s="443">
        <f t="shared" si="196"/>
        <v>13051.947999999999</v>
      </c>
      <c r="G486" s="363">
        <f t="shared" si="197"/>
        <v>103078.052</v>
      </c>
      <c r="H486" s="365">
        <f t="shared" si="198"/>
        <v>0.1266219893251378</v>
      </c>
      <c r="I486" s="363"/>
    </row>
    <row r="487" spans="1:9" ht="15" customHeight="1" x14ac:dyDescent="0.25">
      <c r="B487" s="620">
        <v>42767</v>
      </c>
      <c r="C487" s="362">
        <v>7200</v>
      </c>
      <c r="D487" s="621">
        <v>14.771951</v>
      </c>
      <c r="E487" s="363">
        <v>16.59</v>
      </c>
      <c r="F487" s="443">
        <f t="shared" si="196"/>
        <v>13089.952800000001</v>
      </c>
      <c r="G487" s="363">
        <f t="shared" si="197"/>
        <v>106358.0472</v>
      </c>
      <c r="H487" s="365">
        <f t="shared" si="198"/>
        <v>0.12307439958337259</v>
      </c>
      <c r="I487" s="363"/>
    </row>
    <row r="488" spans="1:9" x14ac:dyDescent="0.25">
      <c r="A488" t="s">
        <v>380</v>
      </c>
      <c r="B488" s="620">
        <v>42767</v>
      </c>
      <c r="C488" s="362">
        <v>6500</v>
      </c>
      <c r="D488" s="621">
        <v>14.578353999999999</v>
      </c>
      <c r="E488" s="363">
        <v>16.59</v>
      </c>
      <c r="F488" s="443">
        <f t="shared" si="196"/>
        <v>13075.699000000004</v>
      </c>
      <c r="G488" s="363">
        <f t="shared" si="197"/>
        <v>94759.300999999992</v>
      </c>
      <c r="H488" s="365">
        <f t="shared" si="198"/>
        <v>0.13798855481215511</v>
      </c>
      <c r="I488" s="363"/>
    </row>
    <row r="489" spans="1:9" x14ac:dyDescent="0.25">
      <c r="A489" t="s">
        <v>382</v>
      </c>
      <c r="B489" s="620">
        <v>42768</v>
      </c>
      <c r="C489" s="362">
        <v>6000</v>
      </c>
      <c r="D489" s="621">
        <v>14.368788</v>
      </c>
      <c r="E489" s="363">
        <v>16.68</v>
      </c>
      <c r="F489" s="443">
        <f t="shared" si="196"/>
        <v>13867.271999999995</v>
      </c>
      <c r="G489" s="363">
        <f>IF(C489=0, 0,D489*C489)</f>
        <v>86212.728000000003</v>
      </c>
      <c r="H489" s="365">
        <f t="shared" si="198"/>
        <v>0.16084947456946261</v>
      </c>
      <c r="I489" s="363"/>
    </row>
    <row r="490" spans="1:9" x14ac:dyDescent="0.25">
      <c r="A490" t="s">
        <v>389</v>
      </c>
      <c r="B490" s="620">
        <v>42769</v>
      </c>
      <c r="C490" s="362">
        <v>5300</v>
      </c>
      <c r="D490" s="621">
        <v>14.006677</v>
      </c>
      <c r="E490" s="363">
        <v>17.23</v>
      </c>
      <c r="F490" s="443">
        <f t="shared" si="196"/>
        <v>17083.611900000004</v>
      </c>
      <c r="G490" s="363">
        <f t="shared" si="197"/>
        <v>74235.388099999996</v>
      </c>
      <c r="H490" s="365">
        <f t="shared" si="198"/>
        <v>0.2301276027140485</v>
      </c>
      <c r="I490" s="363"/>
    </row>
    <row r="491" spans="1:9" x14ac:dyDescent="0.25">
      <c r="A491" t="s">
        <v>399</v>
      </c>
      <c r="B491" s="620">
        <v>42772</v>
      </c>
      <c r="C491" s="362">
        <v>6000</v>
      </c>
      <c r="D491" s="621">
        <v>14.311230999999999</v>
      </c>
      <c r="E491" s="363">
        <v>16.52</v>
      </c>
      <c r="F491" s="443">
        <f t="shared" si="196"/>
        <v>13252.614000000001</v>
      </c>
      <c r="G491" s="363">
        <f t="shared" si="197"/>
        <v>85867.385999999999</v>
      </c>
      <c r="H491" s="365">
        <f t="shared" si="198"/>
        <v>0.15433815581622576</v>
      </c>
      <c r="I491" s="363"/>
    </row>
    <row r="492" spans="1:9" x14ac:dyDescent="0.25">
      <c r="A492" t="s">
        <v>404</v>
      </c>
      <c r="B492" s="620">
        <v>42773</v>
      </c>
      <c r="C492" s="362">
        <v>6600</v>
      </c>
      <c r="D492" s="621">
        <v>14.461574000000001</v>
      </c>
      <c r="E492" s="363">
        <v>16.03</v>
      </c>
      <c r="F492" s="443">
        <f t="shared" si="196"/>
        <v>10351.611600000004</v>
      </c>
      <c r="G492" s="363">
        <f t="shared" si="197"/>
        <v>95446.388400000011</v>
      </c>
      <c r="H492" s="365">
        <f t="shared" si="198"/>
        <v>0.10845472283998965</v>
      </c>
      <c r="I492" s="363"/>
    </row>
    <row r="493" spans="1:9" x14ac:dyDescent="0.25">
      <c r="A493" t="s">
        <v>427</v>
      </c>
      <c r="B493" s="620">
        <v>42781</v>
      </c>
      <c r="C493" s="362">
        <v>5700</v>
      </c>
      <c r="D493" s="621">
        <v>14.140828000000001</v>
      </c>
      <c r="E493" s="363">
        <v>16.3</v>
      </c>
      <c r="F493" s="443">
        <f t="shared" si="196"/>
        <v>12307.2804</v>
      </c>
      <c r="G493" s="363">
        <f t="shared" si="197"/>
        <v>80602.719600000011</v>
      </c>
      <c r="H493" s="365">
        <f t="shared" si="198"/>
        <v>0.1526906345229572</v>
      </c>
      <c r="I493" s="363"/>
    </row>
    <row r="494" spans="1:9" x14ac:dyDescent="0.25">
      <c r="A494" t="s">
        <v>429</v>
      </c>
      <c r="B494" s="620">
        <v>42782</v>
      </c>
      <c r="C494" s="362">
        <v>5700</v>
      </c>
      <c r="D494" s="621">
        <v>14.103</v>
      </c>
      <c r="E494" s="363">
        <v>16.170000000000002</v>
      </c>
      <c r="F494" s="443">
        <f t="shared" si="196"/>
        <v>11781.900000000011</v>
      </c>
      <c r="G494" s="363">
        <f t="shared" si="197"/>
        <v>80387.100000000006</v>
      </c>
      <c r="H494" s="365">
        <f t="shared" si="198"/>
        <v>0.14656456073175933</v>
      </c>
      <c r="I494" s="363"/>
    </row>
    <row r="495" spans="1:9" x14ac:dyDescent="0.25">
      <c r="B495" s="620"/>
      <c r="C495" s="362"/>
      <c r="D495" s="621"/>
      <c r="E495" s="363"/>
      <c r="F495" s="443"/>
      <c r="G495" s="363"/>
      <c r="H495" s="365"/>
      <c r="I495" s="363"/>
    </row>
    <row r="496" spans="1:9" x14ac:dyDescent="0.25">
      <c r="B496" s="620"/>
      <c r="C496" s="362"/>
      <c r="D496" s="621"/>
      <c r="E496" s="363"/>
      <c r="F496" s="443"/>
      <c r="G496" s="363"/>
      <c r="H496" s="365"/>
      <c r="I496" s="363"/>
    </row>
    <row r="497" spans="1:13" x14ac:dyDescent="0.25">
      <c r="B497" s="620"/>
      <c r="C497" s="362"/>
      <c r="D497" s="621"/>
      <c r="E497" s="363"/>
      <c r="F497" s="443"/>
      <c r="G497" s="363"/>
      <c r="H497" s="365"/>
      <c r="I497" s="363"/>
    </row>
    <row r="498" spans="1:13" x14ac:dyDescent="0.25">
      <c r="B498" s="620"/>
      <c r="C498" s="362"/>
      <c r="D498" s="621"/>
      <c r="E498" s="363"/>
      <c r="F498" s="443"/>
      <c r="G498" s="363"/>
      <c r="H498" s="365"/>
      <c r="I498" s="363"/>
    </row>
    <row r="502" spans="1:13" x14ac:dyDescent="0.25">
      <c r="L502" t="s">
        <v>65</v>
      </c>
      <c r="M502" s="227">
        <f>K765+M765-F765</f>
        <v>14615.571000001626</v>
      </c>
    </row>
    <row r="503" spans="1:13" x14ac:dyDescent="0.25">
      <c r="A503" s="510" t="s">
        <v>1</v>
      </c>
      <c r="B503" s="587" t="s">
        <v>2</v>
      </c>
      <c r="C503" s="510" t="s">
        <v>4</v>
      </c>
      <c r="D503" s="588" t="s">
        <v>5</v>
      </c>
      <c r="E503" s="511" t="s">
        <v>90</v>
      </c>
      <c r="F503" s="511" t="s">
        <v>60</v>
      </c>
      <c r="G503" s="510" t="s">
        <v>3</v>
      </c>
      <c r="H503" s="589" t="s">
        <v>6</v>
      </c>
      <c r="I503" s="588" t="s">
        <v>7</v>
      </c>
      <c r="J503" s="511" t="s">
        <v>89</v>
      </c>
      <c r="K503" s="511" t="s">
        <v>61</v>
      </c>
      <c r="L503" s="510" t="s">
        <v>37</v>
      </c>
      <c r="M503" s="511" t="s">
        <v>38</v>
      </c>
    </row>
    <row r="504" spans="1:13" x14ac:dyDescent="0.25">
      <c r="A504" s="512" t="s">
        <v>50</v>
      </c>
      <c r="B504" s="545">
        <v>42187</v>
      </c>
      <c r="C504" s="497">
        <v>1000</v>
      </c>
      <c r="D504" s="498">
        <v>27.25</v>
      </c>
      <c r="E504" s="499">
        <v>0</v>
      </c>
      <c r="F504" s="499">
        <f>C504*D504+E504</f>
        <v>27250</v>
      </c>
      <c r="G504" s="496">
        <v>42187</v>
      </c>
      <c r="H504" s="513">
        <v>2000</v>
      </c>
      <c r="I504" s="498">
        <v>27.34</v>
      </c>
      <c r="J504" s="499">
        <v>-5.49</v>
      </c>
      <c r="K504" s="499">
        <f>H504*I504-J504</f>
        <v>54685.49</v>
      </c>
      <c r="L504" s="496">
        <v>42257</v>
      </c>
      <c r="M504" s="499">
        <v>850.5</v>
      </c>
    </row>
    <row r="505" spans="1:13" x14ac:dyDescent="0.25">
      <c r="A505" s="514" t="s">
        <v>71</v>
      </c>
      <c r="B505" s="545">
        <v>42187</v>
      </c>
      <c r="C505" s="497">
        <v>80</v>
      </c>
      <c r="D505" s="498">
        <v>27.152249999999999</v>
      </c>
      <c r="E505" s="499">
        <v>0</v>
      </c>
      <c r="F505" s="499">
        <f t="shared" ref="F505:F568" si="199">C505*D505+E505</f>
        <v>2172.1799999999998</v>
      </c>
      <c r="G505" s="496">
        <v>42199</v>
      </c>
      <c r="H505" s="513">
        <v>102</v>
      </c>
      <c r="I505" s="498">
        <v>25.28</v>
      </c>
      <c r="J505" s="499">
        <v>0.05</v>
      </c>
      <c r="K505" s="499">
        <f t="shared" ref="K505:K532" si="200">H505*I505-J505</f>
        <v>2578.5099999999998</v>
      </c>
      <c r="L505" s="496">
        <v>42439</v>
      </c>
      <c r="M505" s="499">
        <v>483.9</v>
      </c>
    </row>
    <row r="506" spans="1:13" x14ac:dyDescent="0.25">
      <c r="A506" s="497"/>
      <c r="B506" s="545">
        <v>42187</v>
      </c>
      <c r="C506" s="497">
        <v>1000</v>
      </c>
      <c r="D506" s="498">
        <v>27.1</v>
      </c>
      <c r="E506" s="499">
        <v>0</v>
      </c>
      <c r="F506" s="499">
        <f t="shared" si="199"/>
        <v>27100</v>
      </c>
      <c r="G506" s="496">
        <v>42227</v>
      </c>
      <c r="H506" s="513">
        <v>200</v>
      </c>
      <c r="I506" s="498">
        <v>19.649999999999999</v>
      </c>
      <c r="J506" s="499">
        <v>7.0000000000000007E-2</v>
      </c>
      <c r="K506" s="499">
        <f t="shared" si="200"/>
        <v>3929.9299999999994</v>
      </c>
      <c r="L506" s="496">
        <v>42531</v>
      </c>
      <c r="M506" s="499">
        <v>483.9</v>
      </c>
    </row>
    <row r="507" spans="1:13" x14ac:dyDescent="0.25">
      <c r="A507" s="497"/>
      <c r="B507" s="608">
        <v>42187</v>
      </c>
      <c r="C507" s="497">
        <v>500</v>
      </c>
      <c r="D507" s="498">
        <v>27.039332999999999</v>
      </c>
      <c r="E507" s="499">
        <v>0</v>
      </c>
      <c r="F507" s="499">
        <f t="shared" si="199"/>
        <v>13519.666499999999</v>
      </c>
      <c r="G507" s="496">
        <v>42227</v>
      </c>
      <c r="H507" s="513">
        <v>200</v>
      </c>
      <c r="I507" s="498">
        <v>18.7</v>
      </c>
      <c r="J507" s="499">
        <v>7.0000000000000007E-2</v>
      </c>
      <c r="K507" s="499">
        <f t="shared" si="200"/>
        <v>3739.93</v>
      </c>
      <c r="L507" s="496">
        <v>42625</v>
      </c>
      <c r="M507" s="499">
        <v>433.9</v>
      </c>
    </row>
    <row r="508" spans="1:13" x14ac:dyDescent="0.25">
      <c r="A508" s="497"/>
      <c r="B508" s="608"/>
      <c r="C508" s="497">
        <v>500</v>
      </c>
      <c r="D508" s="498">
        <v>27.039332999999999</v>
      </c>
      <c r="E508" s="499">
        <v>0</v>
      </c>
      <c r="F508" s="499">
        <f t="shared" si="199"/>
        <v>13519.666499999999</v>
      </c>
      <c r="G508" s="496">
        <v>42257</v>
      </c>
      <c r="H508" s="513">
        <v>1600</v>
      </c>
      <c r="I508" s="498">
        <v>16.445</v>
      </c>
      <c r="J508" s="499">
        <v>0.48</v>
      </c>
      <c r="K508" s="499">
        <f t="shared" si="200"/>
        <v>26311.52</v>
      </c>
      <c r="L508" s="496">
        <v>42716</v>
      </c>
      <c r="M508" s="499">
        <v>500</v>
      </c>
    </row>
    <row r="509" spans="1:13" x14ac:dyDescent="0.25">
      <c r="A509" s="497"/>
      <c r="B509" s="608"/>
      <c r="C509" s="497">
        <v>500</v>
      </c>
      <c r="D509" s="498">
        <v>27.039332999999999</v>
      </c>
      <c r="E509" s="499">
        <v>0</v>
      </c>
      <c r="F509" s="499">
        <f t="shared" si="199"/>
        <v>13519.666499999999</v>
      </c>
      <c r="G509" s="609">
        <v>42265</v>
      </c>
      <c r="H509" s="513">
        <v>200</v>
      </c>
      <c r="I509" s="498">
        <v>15.65</v>
      </c>
      <c r="J509" s="499">
        <v>0.05</v>
      </c>
      <c r="K509" s="499">
        <f t="shared" si="200"/>
        <v>3129.95</v>
      </c>
      <c r="L509" s="497"/>
      <c r="M509" s="499"/>
    </row>
    <row r="510" spans="1:13" x14ac:dyDescent="0.25">
      <c r="A510" s="497"/>
      <c r="B510" s="608"/>
      <c r="C510" s="497">
        <v>500</v>
      </c>
      <c r="D510" s="498">
        <v>27.039332999999999</v>
      </c>
      <c r="E510" s="499">
        <v>0</v>
      </c>
      <c r="F510" s="499">
        <f t="shared" si="199"/>
        <v>13519.666499999999</v>
      </c>
      <c r="G510" s="609"/>
      <c r="H510" s="513">
        <v>2400</v>
      </c>
      <c r="I510" s="498">
        <v>15.7</v>
      </c>
      <c r="J510" s="499">
        <v>0.7</v>
      </c>
      <c r="K510" s="499">
        <f t="shared" si="200"/>
        <v>37679.300000000003</v>
      </c>
      <c r="L510" s="497"/>
      <c r="M510" s="499"/>
    </row>
    <row r="511" spans="1:13" x14ac:dyDescent="0.25">
      <c r="A511" s="497"/>
      <c r="B511" s="608"/>
      <c r="C511" s="497">
        <v>1000</v>
      </c>
      <c r="D511" s="498">
        <v>27.039332999999999</v>
      </c>
      <c r="E511" s="499">
        <v>0</v>
      </c>
      <c r="F511" s="499">
        <f t="shared" si="199"/>
        <v>27039.332999999999</v>
      </c>
      <c r="G511" s="496">
        <v>42271</v>
      </c>
      <c r="H511" s="590">
        <v>918</v>
      </c>
      <c r="I511" s="591">
        <v>16.45</v>
      </c>
      <c r="J511" s="592">
        <v>0.28000000000000003</v>
      </c>
      <c r="K511" s="592">
        <f t="shared" si="200"/>
        <v>15100.819999999998</v>
      </c>
      <c r="L511" s="497"/>
      <c r="M511" s="499"/>
    </row>
    <row r="512" spans="1:13" ht="15" customHeight="1" x14ac:dyDescent="0.25">
      <c r="A512" s="497"/>
      <c r="B512" s="545">
        <v>42198</v>
      </c>
      <c r="C512" s="497">
        <v>100</v>
      </c>
      <c r="D512" s="498">
        <v>24.77</v>
      </c>
      <c r="E512" s="499">
        <v>0</v>
      </c>
      <c r="F512" s="499">
        <f t="shared" si="199"/>
        <v>2477</v>
      </c>
      <c r="G512" s="610" t="s">
        <v>139</v>
      </c>
      <c r="H512" s="513">
        <v>500</v>
      </c>
      <c r="I512" s="498">
        <v>15.95</v>
      </c>
      <c r="J512" s="499">
        <v>0.15</v>
      </c>
      <c r="K512" s="592">
        <f t="shared" si="200"/>
        <v>7974.85</v>
      </c>
      <c r="L512" s="497"/>
      <c r="M512" s="499"/>
    </row>
    <row r="513" spans="1:13" x14ac:dyDescent="0.25">
      <c r="A513" s="497"/>
      <c r="B513" s="545">
        <v>42205</v>
      </c>
      <c r="C513" s="497">
        <v>50</v>
      </c>
      <c r="D513" s="498">
        <v>24.35</v>
      </c>
      <c r="E513" s="499">
        <v>0</v>
      </c>
      <c r="F513" s="499">
        <f t="shared" si="199"/>
        <v>1217.5</v>
      </c>
      <c r="G513" s="610"/>
      <c r="H513" s="513">
        <v>500</v>
      </c>
      <c r="I513" s="498">
        <v>16.100000000000001</v>
      </c>
      <c r="J513" s="499">
        <v>0.15</v>
      </c>
      <c r="K513" s="592">
        <f t="shared" si="200"/>
        <v>8049.8500000000013</v>
      </c>
      <c r="L513" s="497"/>
      <c r="M513" s="499"/>
    </row>
    <row r="514" spans="1:13" x14ac:dyDescent="0.25">
      <c r="A514" s="497"/>
      <c r="B514" s="545">
        <v>42207</v>
      </c>
      <c r="C514" s="497">
        <v>20</v>
      </c>
      <c r="D514" s="498">
        <v>24.02</v>
      </c>
      <c r="E514" s="499">
        <v>0</v>
      </c>
      <c r="F514" s="499">
        <f t="shared" si="199"/>
        <v>480.4</v>
      </c>
      <c r="G514" s="610"/>
      <c r="H514" s="513">
        <v>500</v>
      </c>
      <c r="I514" s="498">
        <v>16.170000000000002</v>
      </c>
      <c r="J514" s="499">
        <v>0.15</v>
      </c>
      <c r="K514" s="592">
        <f t="shared" si="200"/>
        <v>8084.8500000000013</v>
      </c>
      <c r="L514" s="497"/>
      <c r="M514" s="499"/>
    </row>
    <row r="515" spans="1:13" x14ac:dyDescent="0.25">
      <c r="A515" s="497"/>
      <c r="B515" s="545">
        <v>42207</v>
      </c>
      <c r="C515" s="497">
        <v>20</v>
      </c>
      <c r="D515" s="498">
        <v>23.91</v>
      </c>
      <c r="E515" s="499">
        <v>0</v>
      </c>
      <c r="F515" s="499">
        <f t="shared" si="199"/>
        <v>478.2</v>
      </c>
      <c r="G515" s="610"/>
      <c r="H515" s="513">
        <v>500</v>
      </c>
      <c r="I515" s="498">
        <v>16.28</v>
      </c>
      <c r="J515" s="499">
        <v>0.15</v>
      </c>
      <c r="K515" s="592">
        <f t="shared" si="200"/>
        <v>8139.8500000000013</v>
      </c>
      <c r="L515" s="499"/>
      <c r="M515" s="499"/>
    </row>
    <row r="516" spans="1:13" x14ac:dyDescent="0.25">
      <c r="A516" s="497"/>
      <c r="B516" s="545">
        <v>42207</v>
      </c>
      <c r="C516" s="497">
        <v>20</v>
      </c>
      <c r="D516" s="498">
        <v>23.7</v>
      </c>
      <c r="E516" s="499">
        <v>0</v>
      </c>
      <c r="F516" s="499">
        <f t="shared" si="199"/>
        <v>474</v>
      </c>
      <c r="G516" s="610"/>
      <c r="H516" s="513">
        <v>500</v>
      </c>
      <c r="I516" s="498">
        <v>16.39</v>
      </c>
      <c r="J516" s="499">
        <v>0.15</v>
      </c>
      <c r="K516" s="592">
        <f t="shared" si="200"/>
        <v>8194.85</v>
      </c>
      <c r="L516" s="497"/>
      <c r="M516" s="499"/>
    </row>
    <row r="517" spans="1:13" x14ac:dyDescent="0.25">
      <c r="A517" s="497"/>
      <c r="B517" s="545">
        <v>42207</v>
      </c>
      <c r="C517" s="497">
        <v>20</v>
      </c>
      <c r="D517" s="498">
        <v>23.6</v>
      </c>
      <c r="E517" s="499">
        <v>0</v>
      </c>
      <c r="F517" s="499">
        <f t="shared" si="199"/>
        <v>472</v>
      </c>
      <c r="G517" s="610"/>
      <c r="H517" s="513">
        <v>500</v>
      </c>
      <c r="I517" s="498">
        <v>16.55</v>
      </c>
      <c r="J517" s="499">
        <v>0.17</v>
      </c>
      <c r="K517" s="592">
        <f t="shared" si="200"/>
        <v>8274.83</v>
      </c>
      <c r="L517" s="497"/>
      <c r="M517" s="499"/>
    </row>
    <row r="518" spans="1:13" x14ac:dyDescent="0.25">
      <c r="A518" s="497"/>
      <c r="B518" s="545">
        <v>42209</v>
      </c>
      <c r="C518" s="497">
        <v>40</v>
      </c>
      <c r="D518" s="498">
        <v>22.3</v>
      </c>
      <c r="E518" s="499">
        <v>0</v>
      </c>
      <c r="F518" s="499">
        <f t="shared" si="199"/>
        <v>892</v>
      </c>
      <c r="G518" s="610"/>
      <c r="H518" s="513">
        <v>50</v>
      </c>
      <c r="I518" s="498">
        <v>16.55</v>
      </c>
      <c r="J518" s="499">
        <v>0</v>
      </c>
      <c r="K518" s="592">
        <f t="shared" si="200"/>
        <v>827.5</v>
      </c>
      <c r="L518" s="497"/>
      <c r="M518" s="499"/>
    </row>
    <row r="519" spans="1:13" x14ac:dyDescent="0.25">
      <c r="A519" s="499"/>
      <c r="B519" s="545">
        <v>42221</v>
      </c>
      <c r="C519" s="497">
        <v>12</v>
      </c>
      <c r="D519" s="498">
        <v>20.95</v>
      </c>
      <c r="E519" s="499">
        <v>0</v>
      </c>
      <c r="F519" s="499">
        <f t="shared" si="199"/>
        <v>251.39999999999998</v>
      </c>
      <c r="G519" s="610"/>
      <c r="H519" s="513">
        <v>28</v>
      </c>
      <c r="I519" s="498">
        <v>16.68</v>
      </c>
      <c r="J519" s="499">
        <v>0.01</v>
      </c>
      <c r="K519" s="592">
        <f t="shared" si="200"/>
        <v>467.03</v>
      </c>
      <c r="L519" s="513"/>
      <c r="M519" s="499"/>
    </row>
    <row r="520" spans="1:13" x14ac:dyDescent="0.25">
      <c r="A520" s="497"/>
      <c r="B520" s="545">
        <v>42223</v>
      </c>
      <c r="C520" s="497">
        <v>100</v>
      </c>
      <c r="D520" s="498">
        <v>20.399999999999999</v>
      </c>
      <c r="E520" s="499">
        <v>0</v>
      </c>
      <c r="F520" s="499">
        <f t="shared" si="199"/>
        <v>2039.9999999999998</v>
      </c>
      <c r="G520" s="496">
        <v>42285</v>
      </c>
      <c r="H520" s="513">
        <v>632</v>
      </c>
      <c r="I520" s="498">
        <v>17.850000000000001</v>
      </c>
      <c r="J520" s="499">
        <v>0.21</v>
      </c>
      <c r="K520" s="592">
        <f t="shared" si="200"/>
        <v>11280.990000000002</v>
      </c>
      <c r="L520" s="499"/>
      <c r="M520" s="499"/>
    </row>
    <row r="521" spans="1:13" x14ac:dyDescent="0.25">
      <c r="A521" s="499"/>
      <c r="B521" s="545">
        <v>42226</v>
      </c>
      <c r="C521" s="497">
        <v>200</v>
      </c>
      <c r="D521" s="498">
        <v>19.95</v>
      </c>
      <c r="E521" s="499">
        <v>0</v>
      </c>
      <c r="F521" s="499">
        <f t="shared" si="199"/>
        <v>3990</v>
      </c>
      <c r="G521" s="496">
        <v>42297</v>
      </c>
      <c r="H521" s="513">
        <v>500</v>
      </c>
      <c r="I521" s="498">
        <v>19.149999999999999</v>
      </c>
      <c r="J521" s="499">
        <v>0.18</v>
      </c>
      <c r="K521" s="592">
        <f t="shared" si="200"/>
        <v>9574.82</v>
      </c>
      <c r="L521" s="497"/>
      <c r="M521" s="499"/>
    </row>
    <row r="522" spans="1:13" x14ac:dyDescent="0.25">
      <c r="A522" s="497"/>
      <c r="B522" s="545">
        <v>42226</v>
      </c>
      <c r="C522" s="497">
        <v>50</v>
      </c>
      <c r="D522" s="498">
        <v>20.010000000000002</v>
      </c>
      <c r="E522" s="499">
        <v>0</v>
      </c>
      <c r="F522" s="499">
        <f t="shared" si="199"/>
        <v>1000.5000000000001</v>
      </c>
      <c r="G522" s="496">
        <v>42300</v>
      </c>
      <c r="H522" s="513">
        <v>1000</v>
      </c>
      <c r="I522" s="498">
        <v>18.62</v>
      </c>
      <c r="J522" s="499">
        <v>0.34</v>
      </c>
      <c r="K522" s="592">
        <f t="shared" si="200"/>
        <v>18619.66</v>
      </c>
      <c r="L522" s="497"/>
      <c r="M522" s="499"/>
    </row>
    <row r="523" spans="1:13" x14ac:dyDescent="0.25">
      <c r="A523" s="497"/>
      <c r="B523" s="545">
        <v>42226</v>
      </c>
      <c r="C523" s="497">
        <v>100</v>
      </c>
      <c r="D523" s="498">
        <v>20.2</v>
      </c>
      <c r="E523" s="499">
        <v>0</v>
      </c>
      <c r="F523" s="499">
        <f t="shared" si="199"/>
        <v>2020</v>
      </c>
      <c r="G523" s="496">
        <v>42312</v>
      </c>
      <c r="H523" s="513">
        <v>2500</v>
      </c>
      <c r="I523" s="498">
        <v>18.48</v>
      </c>
      <c r="J523" s="499">
        <v>7.8</v>
      </c>
      <c r="K523" s="499">
        <f t="shared" si="200"/>
        <v>46192.2</v>
      </c>
      <c r="L523" s="497"/>
      <c r="M523" s="499"/>
    </row>
    <row r="524" spans="1:13" x14ac:dyDescent="0.25">
      <c r="A524" s="497"/>
      <c r="B524" s="545">
        <v>42227</v>
      </c>
      <c r="C524" s="497">
        <v>200</v>
      </c>
      <c r="D524" s="498">
        <v>18.399999999999999</v>
      </c>
      <c r="E524" s="499">
        <v>0</v>
      </c>
      <c r="F524" s="499">
        <f t="shared" si="199"/>
        <v>3679.9999999999995</v>
      </c>
      <c r="G524" s="496">
        <v>42313</v>
      </c>
      <c r="H524" s="513">
        <v>3000</v>
      </c>
      <c r="I524" s="498">
        <v>19.059999999999999</v>
      </c>
      <c r="J524" s="499">
        <v>1.05</v>
      </c>
      <c r="K524" s="499">
        <f t="shared" si="200"/>
        <v>57178.94999999999</v>
      </c>
      <c r="L524" s="497"/>
      <c r="M524" s="499"/>
    </row>
    <row r="525" spans="1:13" x14ac:dyDescent="0.25">
      <c r="A525" s="497"/>
      <c r="B525" s="545">
        <v>42227</v>
      </c>
      <c r="C525" s="497">
        <v>200</v>
      </c>
      <c r="D525" s="498">
        <v>19.55</v>
      </c>
      <c r="E525" s="499">
        <v>0</v>
      </c>
      <c r="F525" s="499">
        <f t="shared" si="199"/>
        <v>3910</v>
      </c>
      <c r="G525" s="496">
        <v>42324</v>
      </c>
      <c r="H525" s="513">
        <v>2500</v>
      </c>
      <c r="I525" s="498">
        <v>18.8</v>
      </c>
      <c r="J525" s="499">
        <v>0.86</v>
      </c>
      <c r="K525" s="499">
        <f t="shared" si="200"/>
        <v>46999.14</v>
      </c>
      <c r="L525" s="499"/>
      <c r="M525" s="499"/>
    </row>
    <row r="526" spans="1:13" x14ac:dyDescent="0.25">
      <c r="A526" s="497"/>
      <c r="B526" s="545">
        <v>42234</v>
      </c>
      <c r="C526" s="497">
        <v>40</v>
      </c>
      <c r="D526" s="498">
        <v>18.149999999999999</v>
      </c>
      <c r="E526" s="499">
        <v>0</v>
      </c>
      <c r="F526" s="499">
        <f t="shared" si="199"/>
        <v>726</v>
      </c>
      <c r="G526" s="496">
        <v>42335</v>
      </c>
      <c r="H526" s="513">
        <v>3078</v>
      </c>
      <c r="I526" s="498">
        <v>17.649999999999999</v>
      </c>
      <c r="J526" s="499">
        <v>1</v>
      </c>
      <c r="K526" s="499">
        <f t="shared" si="200"/>
        <v>54325.7</v>
      </c>
      <c r="L526" s="497"/>
      <c r="M526" s="499"/>
    </row>
    <row r="527" spans="1:13" x14ac:dyDescent="0.25">
      <c r="A527" s="497"/>
      <c r="B527" s="545">
        <v>42234</v>
      </c>
      <c r="C527" s="497">
        <v>100</v>
      </c>
      <c r="D527" s="498">
        <v>18</v>
      </c>
      <c r="E527" s="499">
        <v>0</v>
      </c>
      <c r="F527" s="499">
        <f t="shared" si="199"/>
        <v>1800</v>
      </c>
      <c r="G527" s="496">
        <v>42347</v>
      </c>
      <c r="H527" s="513">
        <v>500</v>
      </c>
      <c r="I527" s="498">
        <v>16.149999999999999</v>
      </c>
      <c r="J527" s="499">
        <v>0.15</v>
      </c>
      <c r="K527" s="499">
        <f t="shared" si="200"/>
        <v>8074.8499999999995</v>
      </c>
      <c r="L527" s="497"/>
      <c r="M527" s="499"/>
    </row>
    <row r="528" spans="1:13" x14ac:dyDescent="0.25">
      <c r="A528" s="497"/>
      <c r="B528" s="545">
        <v>42235</v>
      </c>
      <c r="C528" s="497">
        <v>100</v>
      </c>
      <c r="D528" s="498">
        <v>17.78</v>
      </c>
      <c r="E528" s="499">
        <v>0</v>
      </c>
      <c r="F528" s="499">
        <f t="shared" si="199"/>
        <v>1778</v>
      </c>
      <c r="G528" s="496">
        <v>42353</v>
      </c>
      <c r="H528" s="513">
        <v>600</v>
      </c>
      <c r="I528" s="498">
        <v>14.95</v>
      </c>
      <c r="J528" s="499">
        <v>0.17</v>
      </c>
      <c r="K528" s="499">
        <f t="shared" si="200"/>
        <v>8969.83</v>
      </c>
      <c r="L528" s="497"/>
      <c r="M528" s="499"/>
    </row>
    <row r="529" spans="1:13" x14ac:dyDescent="0.25">
      <c r="A529" s="497"/>
      <c r="B529" s="545">
        <v>42235</v>
      </c>
      <c r="C529" s="497">
        <v>100</v>
      </c>
      <c r="D529" s="498">
        <v>17.68</v>
      </c>
      <c r="E529" s="499">
        <v>0</v>
      </c>
      <c r="F529" s="499">
        <f t="shared" si="199"/>
        <v>1768</v>
      </c>
      <c r="G529" s="496">
        <v>42354</v>
      </c>
      <c r="H529" s="513">
        <v>500</v>
      </c>
      <c r="I529" s="498">
        <v>14.32</v>
      </c>
      <c r="J529" s="499">
        <v>0.13</v>
      </c>
      <c r="K529" s="499">
        <f t="shared" si="200"/>
        <v>7159.87</v>
      </c>
      <c r="L529" s="497"/>
      <c r="M529" s="499"/>
    </row>
    <row r="530" spans="1:13" x14ac:dyDescent="0.25">
      <c r="A530" s="497"/>
      <c r="B530" s="545">
        <v>42240</v>
      </c>
      <c r="C530" s="497">
        <v>100</v>
      </c>
      <c r="D530" s="498">
        <v>16.649999999999999</v>
      </c>
      <c r="E530" s="499">
        <v>0</v>
      </c>
      <c r="F530" s="499">
        <f t="shared" si="199"/>
        <v>1664.9999999999998</v>
      </c>
      <c r="G530" s="496">
        <v>42361</v>
      </c>
      <c r="H530" s="513">
        <v>500</v>
      </c>
      <c r="I530" s="498">
        <v>12.83</v>
      </c>
      <c r="J530" s="499">
        <v>0.12</v>
      </c>
      <c r="K530" s="499">
        <f t="shared" si="200"/>
        <v>6414.88</v>
      </c>
      <c r="L530" s="497"/>
      <c r="M530" s="499"/>
    </row>
    <row r="531" spans="1:13" x14ac:dyDescent="0.25">
      <c r="A531" s="497"/>
      <c r="B531" s="545">
        <v>42240</v>
      </c>
      <c r="C531" s="497">
        <v>100</v>
      </c>
      <c r="D531" s="498">
        <v>16.100000000000001</v>
      </c>
      <c r="E531" s="499">
        <v>0</v>
      </c>
      <c r="F531" s="499">
        <f t="shared" si="199"/>
        <v>1610.0000000000002</v>
      </c>
      <c r="G531" s="496">
        <v>42362</v>
      </c>
      <c r="H531" s="513">
        <v>1222</v>
      </c>
      <c r="I531" s="498">
        <v>12.75</v>
      </c>
      <c r="J531" s="499">
        <v>0.28999999999999998</v>
      </c>
      <c r="K531" s="499">
        <f t="shared" si="200"/>
        <v>15580.21</v>
      </c>
      <c r="L531" s="497"/>
      <c r="M531" s="499"/>
    </row>
    <row r="532" spans="1:13" x14ac:dyDescent="0.25">
      <c r="A532" s="497"/>
      <c r="B532" s="545">
        <v>42257</v>
      </c>
      <c r="C532" s="497">
        <v>1500</v>
      </c>
      <c r="D532" s="498">
        <v>16.350000000000001</v>
      </c>
      <c r="E532" s="499">
        <v>0</v>
      </c>
      <c r="F532" s="499">
        <f t="shared" si="199"/>
        <v>24525.000000000004</v>
      </c>
      <c r="G532" s="496">
        <v>42367</v>
      </c>
      <c r="H532" s="513">
        <v>1000</v>
      </c>
      <c r="I532" s="498">
        <v>13.15</v>
      </c>
      <c r="J532" s="499">
        <v>0.24</v>
      </c>
      <c r="K532" s="499">
        <f t="shared" si="200"/>
        <v>13149.76</v>
      </c>
      <c r="L532" s="497"/>
      <c r="M532" s="499"/>
    </row>
    <row r="533" spans="1:13" x14ac:dyDescent="0.25">
      <c r="A533" s="497"/>
      <c r="B533" s="545">
        <v>42258</v>
      </c>
      <c r="C533" s="497">
        <v>100</v>
      </c>
      <c r="D533" s="498">
        <v>16.100000000000001</v>
      </c>
      <c r="E533" s="499">
        <v>0</v>
      </c>
      <c r="F533" s="499">
        <f t="shared" si="199"/>
        <v>1610.0000000000002</v>
      </c>
      <c r="G533" s="496">
        <v>42367</v>
      </c>
      <c r="H533" s="513">
        <v>2178</v>
      </c>
      <c r="I533" s="498">
        <v>13.75</v>
      </c>
      <c r="J533" s="499">
        <v>0.55000000000000004</v>
      </c>
      <c r="K533" s="499">
        <f>H533*I533-J533</f>
        <v>29946.95</v>
      </c>
      <c r="L533" s="497"/>
      <c r="M533" s="499"/>
    </row>
    <row r="534" spans="1:13" x14ac:dyDescent="0.25">
      <c r="A534" s="497"/>
      <c r="B534" s="545">
        <v>42261</v>
      </c>
      <c r="C534" s="497">
        <v>1000</v>
      </c>
      <c r="D534" s="498">
        <v>15.416</v>
      </c>
      <c r="E534" s="499">
        <v>0</v>
      </c>
      <c r="F534" s="499">
        <f t="shared" si="199"/>
        <v>15416</v>
      </c>
      <c r="G534" s="496">
        <v>42010</v>
      </c>
      <c r="H534" s="513">
        <v>1000</v>
      </c>
      <c r="I534" s="498">
        <v>12.63</v>
      </c>
      <c r="J534" s="499">
        <v>0.23</v>
      </c>
      <c r="K534" s="499">
        <f>H534*I534-J534</f>
        <v>12629.77</v>
      </c>
      <c r="L534" s="497"/>
      <c r="M534" s="499"/>
    </row>
    <row r="535" spans="1:13" x14ac:dyDescent="0.25">
      <c r="A535" s="497"/>
      <c r="B535" s="545">
        <v>42261</v>
      </c>
      <c r="C535" s="497">
        <v>1000</v>
      </c>
      <c r="D535" s="498">
        <v>15.1</v>
      </c>
      <c r="E535" s="499">
        <v>0</v>
      </c>
      <c r="F535" s="499">
        <f t="shared" si="199"/>
        <v>15100</v>
      </c>
      <c r="G535" s="593">
        <v>42374</v>
      </c>
      <c r="H535" s="513">
        <v>2000</v>
      </c>
      <c r="I535" s="498">
        <v>12.81</v>
      </c>
      <c r="J535" s="499">
        <v>0.47</v>
      </c>
      <c r="K535" s="499">
        <f t="shared" ref="K535:K547" si="201">H535*I535-J535</f>
        <v>25619.53</v>
      </c>
      <c r="L535" s="497"/>
      <c r="M535" s="499"/>
    </row>
    <row r="536" spans="1:13" x14ac:dyDescent="0.25">
      <c r="A536" s="497"/>
      <c r="B536" s="545">
        <v>42261</v>
      </c>
      <c r="C536" s="497">
        <v>200</v>
      </c>
      <c r="D536" s="498">
        <v>14.87</v>
      </c>
      <c r="E536" s="499">
        <v>0</v>
      </c>
      <c r="F536" s="499">
        <f t="shared" si="199"/>
        <v>2974</v>
      </c>
      <c r="G536" s="496">
        <v>42374</v>
      </c>
      <c r="H536" s="513">
        <v>1000</v>
      </c>
      <c r="I536" s="498">
        <v>12.82</v>
      </c>
      <c r="J536" s="499">
        <v>0.24</v>
      </c>
      <c r="K536" s="499">
        <f t="shared" si="201"/>
        <v>12819.76</v>
      </c>
      <c r="L536" s="497"/>
      <c r="M536" s="499"/>
    </row>
    <row r="537" spans="1:13" x14ac:dyDescent="0.25">
      <c r="A537" s="497"/>
      <c r="B537" s="545">
        <v>42261</v>
      </c>
      <c r="C537" s="497">
        <v>300</v>
      </c>
      <c r="D537" s="498">
        <v>14.87</v>
      </c>
      <c r="E537" s="499">
        <v>0</v>
      </c>
      <c r="F537" s="499">
        <f t="shared" si="199"/>
        <v>4461</v>
      </c>
      <c r="G537" s="496">
        <v>42398</v>
      </c>
      <c r="H537" s="513">
        <v>400</v>
      </c>
      <c r="I537" s="498">
        <v>9.5500000000000007</v>
      </c>
      <c r="J537" s="499">
        <v>7.0000000000000007E-2</v>
      </c>
      <c r="K537" s="499">
        <f t="shared" si="201"/>
        <v>3819.9300000000003</v>
      </c>
      <c r="L537" s="497"/>
      <c r="M537" s="499"/>
    </row>
    <row r="538" spans="1:13" x14ac:dyDescent="0.25">
      <c r="A538" s="497"/>
      <c r="B538" s="545">
        <v>42270</v>
      </c>
      <c r="C538" s="497">
        <v>478</v>
      </c>
      <c r="D538" s="498">
        <v>15.85</v>
      </c>
      <c r="E538" s="499">
        <v>0</v>
      </c>
      <c r="F538" s="499">
        <f t="shared" si="199"/>
        <v>7576.3</v>
      </c>
      <c r="G538" s="496">
        <v>42411</v>
      </c>
      <c r="H538" s="513">
        <v>500</v>
      </c>
      <c r="I538" s="498">
        <v>6.97</v>
      </c>
      <c r="J538" s="499">
        <v>0.08</v>
      </c>
      <c r="K538" s="499">
        <f t="shared" si="201"/>
        <v>3484.92</v>
      </c>
      <c r="L538" s="497"/>
      <c r="M538" s="499"/>
    </row>
    <row r="539" spans="1:13" x14ac:dyDescent="0.25">
      <c r="A539" s="497"/>
      <c r="B539" s="545">
        <v>42292</v>
      </c>
      <c r="C539" s="497">
        <v>500</v>
      </c>
      <c r="D539" s="498">
        <v>18.55</v>
      </c>
      <c r="E539" s="499">
        <v>0</v>
      </c>
      <c r="F539" s="499">
        <f t="shared" si="199"/>
        <v>9275</v>
      </c>
      <c r="G539" s="496">
        <v>42412</v>
      </c>
      <c r="H539" s="513">
        <v>200</v>
      </c>
      <c r="I539" s="498">
        <v>7.45</v>
      </c>
      <c r="J539" s="499">
        <v>0.03</v>
      </c>
      <c r="K539" s="499">
        <f t="shared" si="201"/>
        <v>1489.97</v>
      </c>
      <c r="L539" s="497"/>
      <c r="M539" s="499"/>
    </row>
    <row r="540" spans="1:13" x14ac:dyDescent="0.25">
      <c r="A540" s="497"/>
      <c r="B540" s="545">
        <v>42299</v>
      </c>
      <c r="C540" s="497">
        <v>500</v>
      </c>
      <c r="D540" s="498">
        <v>18.55</v>
      </c>
      <c r="E540" s="499">
        <v>0</v>
      </c>
      <c r="F540" s="499">
        <f t="shared" si="199"/>
        <v>9275</v>
      </c>
      <c r="G540" s="496">
        <v>42416</v>
      </c>
      <c r="H540" s="513">
        <v>500</v>
      </c>
      <c r="I540" s="498">
        <v>7.75</v>
      </c>
      <c r="J540" s="499">
        <v>0.08</v>
      </c>
      <c r="K540" s="499">
        <f t="shared" si="201"/>
        <v>3874.92</v>
      </c>
      <c r="L540" s="497"/>
      <c r="M540" s="499"/>
    </row>
    <row r="541" spans="1:13" x14ac:dyDescent="0.25">
      <c r="A541" s="497"/>
      <c r="B541" s="545">
        <v>42299</v>
      </c>
      <c r="C541" s="497">
        <v>500</v>
      </c>
      <c r="D541" s="498">
        <v>18.28</v>
      </c>
      <c r="E541" s="499">
        <v>0</v>
      </c>
      <c r="F541" s="499">
        <f t="shared" si="199"/>
        <v>9140</v>
      </c>
      <c r="G541" s="496">
        <v>42422</v>
      </c>
      <c r="H541" s="513">
        <v>2500</v>
      </c>
      <c r="I541" s="498">
        <v>7.47</v>
      </c>
      <c r="J541" s="499">
        <v>0.41</v>
      </c>
      <c r="K541" s="499">
        <f t="shared" si="201"/>
        <v>18674.59</v>
      </c>
      <c r="L541" s="497"/>
      <c r="M541" s="499"/>
    </row>
    <row r="542" spans="1:13" x14ac:dyDescent="0.25">
      <c r="A542" s="497"/>
      <c r="B542" s="545">
        <v>42299</v>
      </c>
      <c r="C542" s="497">
        <v>1000</v>
      </c>
      <c r="D542" s="498">
        <v>18.100000000000001</v>
      </c>
      <c r="E542" s="499">
        <v>0</v>
      </c>
      <c r="F542" s="499">
        <f t="shared" si="199"/>
        <v>18100</v>
      </c>
      <c r="G542" s="496">
        <v>42422</v>
      </c>
      <c r="H542" s="513">
        <v>1000</v>
      </c>
      <c r="I542" s="498">
        <v>7.49</v>
      </c>
      <c r="J542" s="499">
        <v>0.16</v>
      </c>
      <c r="K542" s="499">
        <f t="shared" si="201"/>
        <v>7489.84</v>
      </c>
      <c r="L542" s="497"/>
      <c r="M542" s="499"/>
    </row>
    <row r="543" spans="1:13" x14ac:dyDescent="0.25">
      <c r="A543" s="497"/>
      <c r="B543" s="608">
        <v>42306</v>
      </c>
      <c r="C543" s="497">
        <v>660</v>
      </c>
      <c r="D543" s="498">
        <v>17.8</v>
      </c>
      <c r="E543" s="499">
        <v>0</v>
      </c>
      <c r="F543" s="499">
        <f t="shared" si="199"/>
        <v>11748</v>
      </c>
      <c r="G543" s="496">
        <v>42426</v>
      </c>
      <c r="H543" s="513">
        <v>900</v>
      </c>
      <c r="I543" s="498">
        <v>7.7</v>
      </c>
      <c r="J543" s="499">
        <v>0.15</v>
      </c>
      <c r="K543" s="499">
        <f t="shared" si="201"/>
        <v>6929.85</v>
      </c>
      <c r="L543" s="497"/>
      <c r="M543" s="499"/>
    </row>
    <row r="544" spans="1:13" ht="30" x14ac:dyDescent="0.25">
      <c r="A544" s="497"/>
      <c r="B544" s="608"/>
      <c r="C544" s="497">
        <v>340</v>
      </c>
      <c r="D544" s="498">
        <v>17.8</v>
      </c>
      <c r="E544" s="499">
        <v>0</v>
      </c>
      <c r="F544" s="499">
        <f t="shared" si="199"/>
        <v>6052</v>
      </c>
      <c r="G544" s="611" t="s">
        <v>181</v>
      </c>
      <c r="H544" s="513">
        <v>500</v>
      </c>
      <c r="I544" s="498">
        <v>7.73</v>
      </c>
      <c r="J544" s="499">
        <v>0.08</v>
      </c>
      <c r="K544" s="499">
        <f t="shared" si="201"/>
        <v>3864.92</v>
      </c>
      <c r="L544" s="497"/>
      <c r="M544" s="499"/>
    </row>
    <row r="545" spans="1:13" x14ac:dyDescent="0.25">
      <c r="A545" s="497"/>
      <c r="B545" s="545">
        <v>42312</v>
      </c>
      <c r="C545" s="594">
        <v>500</v>
      </c>
      <c r="D545" s="591">
        <v>17.559999999999999</v>
      </c>
      <c r="E545" s="592">
        <v>6.95</v>
      </c>
      <c r="F545" s="592">
        <f t="shared" si="199"/>
        <v>8786.9500000000007</v>
      </c>
      <c r="G545" s="611"/>
      <c r="H545" s="513">
        <v>500</v>
      </c>
      <c r="I545" s="498">
        <v>7.96</v>
      </c>
      <c r="J545" s="499">
        <v>0.09</v>
      </c>
      <c r="K545" s="499">
        <f t="shared" si="201"/>
        <v>3979.91</v>
      </c>
      <c r="L545" s="497"/>
      <c r="M545" s="499"/>
    </row>
    <row r="546" spans="1:13" x14ac:dyDescent="0.25">
      <c r="A546" s="497"/>
      <c r="B546" s="545">
        <v>42313</v>
      </c>
      <c r="C546" s="497">
        <v>3000</v>
      </c>
      <c r="D546" s="498">
        <v>19.05</v>
      </c>
      <c r="E546" s="499">
        <v>0</v>
      </c>
      <c r="F546" s="499">
        <f t="shared" si="199"/>
        <v>57150</v>
      </c>
      <c r="G546" s="611"/>
      <c r="H546" s="513">
        <v>500</v>
      </c>
      <c r="I546" s="498">
        <v>8.0299999999999994</v>
      </c>
      <c r="J546" s="499">
        <v>0.09</v>
      </c>
      <c r="K546" s="499">
        <f t="shared" si="201"/>
        <v>4014.9099999999994</v>
      </c>
      <c r="L546" s="497"/>
      <c r="M546" s="498"/>
    </row>
    <row r="547" spans="1:13" x14ac:dyDescent="0.25">
      <c r="A547" s="497"/>
      <c r="B547" s="545">
        <v>42320</v>
      </c>
      <c r="C547" s="497">
        <v>500</v>
      </c>
      <c r="D547" s="498">
        <v>18.079999999999998</v>
      </c>
      <c r="E547" s="499">
        <v>0</v>
      </c>
      <c r="F547" s="499">
        <f t="shared" si="199"/>
        <v>9040</v>
      </c>
      <c r="G547" s="611"/>
      <c r="H547" s="513">
        <v>1500</v>
      </c>
      <c r="I547" s="498">
        <v>8.1</v>
      </c>
      <c r="J547" s="499">
        <v>0.26</v>
      </c>
      <c r="K547" s="499">
        <f t="shared" si="201"/>
        <v>12149.74</v>
      </c>
      <c r="L547" s="497"/>
      <c r="M547" s="499"/>
    </row>
    <row r="548" spans="1:13" x14ac:dyDescent="0.25">
      <c r="A548" s="497"/>
      <c r="B548" s="545">
        <v>42320</v>
      </c>
      <c r="C548" s="497">
        <v>1000</v>
      </c>
      <c r="D548" s="498">
        <v>18.05</v>
      </c>
      <c r="E548" s="499">
        <v>0</v>
      </c>
      <c r="F548" s="499">
        <f t="shared" si="199"/>
        <v>18050</v>
      </c>
      <c r="G548" s="496">
        <v>42429</v>
      </c>
      <c r="H548" s="513">
        <v>1000</v>
      </c>
      <c r="I548" s="498">
        <v>8.5399999999999991</v>
      </c>
      <c r="J548" s="499">
        <v>0.19</v>
      </c>
      <c r="K548" s="499">
        <f>H548*I548-J548</f>
        <v>8539.81</v>
      </c>
      <c r="L548" s="497"/>
      <c r="M548" s="595"/>
    </row>
    <row r="549" spans="1:13" x14ac:dyDescent="0.25">
      <c r="A549" s="497"/>
      <c r="B549" s="545">
        <v>42320</v>
      </c>
      <c r="C549" s="497">
        <v>1000</v>
      </c>
      <c r="D549" s="498">
        <v>17.82</v>
      </c>
      <c r="E549" s="499">
        <v>0</v>
      </c>
      <c r="F549" s="499">
        <f t="shared" si="199"/>
        <v>17820</v>
      </c>
      <c r="G549" s="496">
        <v>42429</v>
      </c>
      <c r="H549" s="513">
        <v>500</v>
      </c>
      <c r="I549" s="498">
        <v>7.95</v>
      </c>
      <c r="J549" s="499">
        <v>0.09</v>
      </c>
      <c r="K549" s="499">
        <f>H549*I549-J549</f>
        <v>3974.91</v>
      </c>
      <c r="L549" s="497"/>
      <c r="M549" s="499"/>
    </row>
    <row r="550" spans="1:13" x14ac:dyDescent="0.25">
      <c r="A550" s="497"/>
      <c r="B550" s="545">
        <v>42328</v>
      </c>
      <c r="C550" s="497">
        <v>3078</v>
      </c>
      <c r="D550" s="498">
        <v>17.47</v>
      </c>
      <c r="E550" s="499">
        <v>0</v>
      </c>
      <c r="F550" s="499">
        <f t="shared" si="199"/>
        <v>53772.659999999996</v>
      </c>
      <c r="G550" s="496">
        <v>42429</v>
      </c>
      <c r="H550" s="513">
        <v>500</v>
      </c>
      <c r="I550" s="498">
        <v>7.97</v>
      </c>
      <c r="J550" s="499">
        <v>0.09</v>
      </c>
      <c r="K550" s="499">
        <f t="shared" ref="K550:K609" si="202">H550*I550-J550</f>
        <v>3984.91</v>
      </c>
      <c r="L550" s="497"/>
      <c r="M550" s="499"/>
    </row>
    <row r="551" spans="1:13" x14ac:dyDescent="0.25">
      <c r="A551" s="497"/>
      <c r="B551" s="545">
        <v>42340</v>
      </c>
      <c r="C551" s="497">
        <v>3078</v>
      </c>
      <c r="D551" s="498">
        <v>17.739999999999998</v>
      </c>
      <c r="E551" s="499">
        <v>0</v>
      </c>
      <c r="F551" s="499">
        <f t="shared" si="199"/>
        <v>54603.719999999994</v>
      </c>
      <c r="G551" s="496">
        <v>42430</v>
      </c>
      <c r="H551" s="513">
        <v>500</v>
      </c>
      <c r="I551" s="498">
        <v>7.85</v>
      </c>
      <c r="J551" s="499">
        <v>0.09</v>
      </c>
      <c r="K551" s="499">
        <f t="shared" si="202"/>
        <v>3924.91</v>
      </c>
      <c r="L551" s="497"/>
      <c r="M551" s="499"/>
    </row>
    <row r="552" spans="1:13" x14ac:dyDescent="0.25">
      <c r="A552" s="497"/>
      <c r="B552" s="545">
        <v>42340</v>
      </c>
      <c r="C552" s="497">
        <v>500</v>
      </c>
      <c r="D552" s="498">
        <v>17.5</v>
      </c>
      <c r="E552" s="499">
        <v>0</v>
      </c>
      <c r="F552" s="499">
        <f t="shared" si="199"/>
        <v>8750</v>
      </c>
      <c r="G552" s="496">
        <v>42430</v>
      </c>
      <c r="H552" s="513">
        <v>500</v>
      </c>
      <c r="I552" s="498">
        <v>8.0299999999999994</v>
      </c>
      <c r="J552" s="499">
        <v>0.09</v>
      </c>
      <c r="K552" s="499">
        <f t="shared" si="202"/>
        <v>4014.9099999999994</v>
      </c>
      <c r="L552" s="499"/>
      <c r="M552" s="499"/>
    </row>
    <row r="553" spans="1:13" x14ac:dyDescent="0.25">
      <c r="A553" s="497"/>
      <c r="B553" s="545">
        <v>42345</v>
      </c>
      <c r="C553" s="497">
        <v>100</v>
      </c>
      <c r="D553" s="498">
        <v>16.7</v>
      </c>
      <c r="E553" s="499">
        <v>0</v>
      </c>
      <c r="F553" s="499">
        <f t="shared" si="199"/>
        <v>1670</v>
      </c>
      <c r="G553" s="496">
        <v>42431</v>
      </c>
      <c r="H553" s="513">
        <v>500</v>
      </c>
      <c r="I553" s="498">
        <v>8.3800000000000008</v>
      </c>
      <c r="J553" s="499">
        <v>0.09</v>
      </c>
      <c r="K553" s="499">
        <f t="shared" si="202"/>
        <v>4189.91</v>
      </c>
      <c r="L553" s="499"/>
      <c r="M553" s="499"/>
    </row>
    <row r="554" spans="1:13" x14ac:dyDescent="0.25">
      <c r="A554" s="497"/>
      <c r="B554" s="545">
        <v>42345</v>
      </c>
      <c r="C554" s="497">
        <v>500</v>
      </c>
      <c r="D554" s="498">
        <v>16.850000000000001</v>
      </c>
      <c r="E554" s="499">
        <v>0</v>
      </c>
      <c r="F554" s="499">
        <f t="shared" si="199"/>
        <v>8425</v>
      </c>
      <c r="G554" s="496">
        <v>42431</v>
      </c>
      <c r="H554" s="513">
        <v>500</v>
      </c>
      <c r="I554" s="498">
        <v>8.58</v>
      </c>
      <c r="J554" s="499">
        <v>0.09</v>
      </c>
      <c r="K554" s="499">
        <f t="shared" si="202"/>
        <v>4289.91</v>
      </c>
      <c r="L554" s="497"/>
      <c r="M554" s="499"/>
    </row>
    <row r="555" spans="1:13" ht="30" x14ac:dyDescent="0.25">
      <c r="A555" s="497"/>
      <c r="B555" s="545">
        <v>42347</v>
      </c>
      <c r="C555" s="497">
        <v>500</v>
      </c>
      <c r="D555" s="498">
        <v>15.84</v>
      </c>
      <c r="E555" s="499">
        <v>0</v>
      </c>
      <c r="F555" s="499">
        <f t="shared" si="199"/>
        <v>7920</v>
      </c>
      <c r="G555" s="610" t="s">
        <v>183</v>
      </c>
      <c r="H555" s="513">
        <v>400</v>
      </c>
      <c r="I555" s="498">
        <v>9.09</v>
      </c>
      <c r="J555" s="499">
        <v>0.1</v>
      </c>
      <c r="K555" s="499">
        <f t="shared" si="202"/>
        <v>3635.9</v>
      </c>
      <c r="L555" s="497"/>
      <c r="M555" s="499"/>
    </row>
    <row r="556" spans="1:13" x14ac:dyDescent="0.25">
      <c r="A556" s="497"/>
      <c r="B556" s="545">
        <v>42348</v>
      </c>
      <c r="C556" s="497">
        <v>500</v>
      </c>
      <c r="D556" s="498">
        <v>14.78</v>
      </c>
      <c r="E556" s="499">
        <v>0</v>
      </c>
      <c r="F556" s="499">
        <f t="shared" si="199"/>
        <v>7390</v>
      </c>
      <c r="G556" s="610"/>
      <c r="H556" s="513">
        <v>100</v>
      </c>
      <c r="I556" s="498">
        <v>9.09</v>
      </c>
      <c r="J556" s="499">
        <v>0</v>
      </c>
      <c r="K556" s="499">
        <f t="shared" si="202"/>
        <v>909</v>
      </c>
      <c r="L556" s="497"/>
      <c r="M556" s="499"/>
    </row>
    <row r="557" spans="1:13" x14ac:dyDescent="0.25">
      <c r="A557" s="497"/>
      <c r="B557" s="545">
        <v>42352</v>
      </c>
      <c r="C557" s="497">
        <v>100</v>
      </c>
      <c r="D557" s="498">
        <v>14.57</v>
      </c>
      <c r="E557" s="499">
        <v>0</v>
      </c>
      <c r="F557" s="499">
        <f t="shared" si="199"/>
        <v>1457</v>
      </c>
      <c r="G557" s="610"/>
      <c r="H557" s="513">
        <v>500</v>
      </c>
      <c r="I557" s="498">
        <v>8.81</v>
      </c>
      <c r="J557" s="499">
        <v>0.1</v>
      </c>
      <c r="K557" s="499">
        <f t="shared" si="202"/>
        <v>4404.8999999999996</v>
      </c>
      <c r="L557" s="497"/>
      <c r="M557" s="499"/>
    </row>
    <row r="558" spans="1:13" x14ac:dyDescent="0.25">
      <c r="A558" s="497"/>
      <c r="B558" s="545">
        <v>42355</v>
      </c>
      <c r="C558" s="497">
        <v>500</v>
      </c>
      <c r="D558" s="498">
        <v>13.89</v>
      </c>
      <c r="E558" s="499">
        <v>0</v>
      </c>
      <c r="F558" s="499">
        <f t="shared" si="199"/>
        <v>6945</v>
      </c>
      <c r="G558" s="496">
        <v>42432</v>
      </c>
      <c r="H558" s="513">
        <v>600</v>
      </c>
      <c r="I558" s="498">
        <v>9.65</v>
      </c>
      <c r="J558" s="499">
        <v>0.13</v>
      </c>
      <c r="K558" s="499">
        <f t="shared" si="202"/>
        <v>5789.87</v>
      </c>
      <c r="L558" s="497"/>
      <c r="M558" s="499"/>
    </row>
    <row r="559" spans="1:13" x14ac:dyDescent="0.25">
      <c r="A559" s="497"/>
      <c r="B559" s="545">
        <v>42360</v>
      </c>
      <c r="C559" s="497">
        <v>500</v>
      </c>
      <c r="D559" s="498">
        <v>12.95</v>
      </c>
      <c r="E559" s="499">
        <v>0</v>
      </c>
      <c r="F559" s="499">
        <f t="shared" si="199"/>
        <v>6475</v>
      </c>
      <c r="G559" s="496">
        <v>42433</v>
      </c>
      <c r="H559" s="513">
        <v>600</v>
      </c>
      <c r="I559" s="498">
        <v>10.45</v>
      </c>
      <c r="J559" s="499">
        <v>0.14000000000000001</v>
      </c>
      <c r="K559" s="499">
        <f t="shared" si="202"/>
        <v>6269.86</v>
      </c>
      <c r="L559" s="497"/>
      <c r="M559" s="499"/>
    </row>
    <row r="560" spans="1:13" x14ac:dyDescent="0.25">
      <c r="A560" s="497"/>
      <c r="B560" s="545">
        <v>42361</v>
      </c>
      <c r="C560" s="497">
        <v>500</v>
      </c>
      <c r="D560" s="498">
        <v>12.75</v>
      </c>
      <c r="E560" s="499">
        <v>0</v>
      </c>
      <c r="F560" s="499">
        <f t="shared" si="199"/>
        <v>6375</v>
      </c>
      <c r="G560" s="496">
        <v>42440</v>
      </c>
      <c r="H560" s="513">
        <v>400</v>
      </c>
      <c r="I560" s="498">
        <v>11.25</v>
      </c>
      <c r="J560" s="499">
        <v>0.1</v>
      </c>
      <c r="K560" s="499">
        <f t="shared" si="202"/>
        <v>4499.8999999999996</v>
      </c>
      <c r="L560" s="497"/>
      <c r="M560" s="499"/>
    </row>
    <row r="561" spans="1:13" x14ac:dyDescent="0.25">
      <c r="A561" s="497"/>
      <c r="B561" s="545">
        <v>42361</v>
      </c>
      <c r="C561" s="497">
        <v>500</v>
      </c>
      <c r="D561" s="498">
        <v>12.8</v>
      </c>
      <c r="E561" s="499">
        <v>0</v>
      </c>
      <c r="F561" s="499">
        <f t="shared" si="199"/>
        <v>6400</v>
      </c>
      <c r="G561" s="496">
        <v>42446</v>
      </c>
      <c r="H561" s="513">
        <v>1500</v>
      </c>
      <c r="I561" s="498">
        <v>11.49</v>
      </c>
      <c r="J561" s="499">
        <v>0.38</v>
      </c>
      <c r="K561" s="499">
        <f t="shared" si="202"/>
        <v>17234.62</v>
      </c>
      <c r="L561" s="497"/>
      <c r="M561" s="499"/>
    </row>
    <row r="562" spans="1:13" x14ac:dyDescent="0.25">
      <c r="A562" s="497"/>
      <c r="B562" s="545">
        <v>42361</v>
      </c>
      <c r="C562" s="497">
        <v>1000</v>
      </c>
      <c r="D562" s="498">
        <v>12.67</v>
      </c>
      <c r="E562" s="499">
        <v>0</v>
      </c>
      <c r="F562" s="499">
        <f t="shared" si="199"/>
        <v>12670</v>
      </c>
      <c r="G562" s="496">
        <v>42447</v>
      </c>
      <c r="H562" s="513">
        <v>1500</v>
      </c>
      <c r="I562" s="498">
        <v>11.44</v>
      </c>
      <c r="J562" s="499">
        <v>0.37</v>
      </c>
      <c r="K562" s="499">
        <f t="shared" si="202"/>
        <v>17159.63</v>
      </c>
      <c r="L562" s="497"/>
      <c r="M562" s="499"/>
    </row>
    <row r="563" spans="1:13" x14ac:dyDescent="0.25">
      <c r="A563" s="497"/>
      <c r="B563" s="545">
        <v>42361</v>
      </c>
      <c r="C563" s="497">
        <v>222</v>
      </c>
      <c r="D563" s="498">
        <v>12.44</v>
      </c>
      <c r="E563" s="499">
        <v>0</v>
      </c>
      <c r="F563" s="499">
        <f t="shared" si="199"/>
        <v>2761.68</v>
      </c>
      <c r="G563" s="496">
        <v>42447</v>
      </c>
      <c r="H563" s="513">
        <v>500</v>
      </c>
      <c r="I563" s="498">
        <v>11.484999999999999</v>
      </c>
      <c r="J563" s="499">
        <v>0.13</v>
      </c>
      <c r="K563" s="499">
        <f t="shared" si="202"/>
        <v>5742.37</v>
      </c>
      <c r="L563" s="497"/>
      <c r="M563" s="499"/>
    </row>
    <row r="564" spans="1:13" x14ac:dyDescent="0.25">
      <c r="A564" s="497"/>
      <c r="B564" s="545">
        <v>42367</v>
      </c>
      <c r="C564" s="497">
        <v>2178</v>
      </c>
      <c r="D564" s="498">
        <v>13.68</v>
      </c>
      <c r="E564" s="499">
        <v>0</v>
      </c>
      <c r="F564" s="499">
        <f t="shared" si="199"/>
        <v>29795.040000000001</v>
      </c>
      <c r="G564" s="609">
        <v>42447</v>
      </c>
      <c r="H564" s="513">
        <v>650</v>
      </c>
      <c r="I564" s="498">
        <v>11.56</v>
      </c>
      <c r="J564" s="499">
        <v>0.25</v>
      </c>
      <c r="K564" s="499">
        <f t="shared" si="202"/>
        <v>7513.75</v>
      </c>
      <c r="L564" s="497"/>
      <c r="M564" s="499"/>
    </row>
    <row r="565" spans="1:13" x14ac:dyDescent="0.25">
      <c r="A565" s="497"/>
      <c r="B565" s="545">
        <v>42369</v>
      </c>
      <c r="C565" s="497">
        <v>2500</v>
      </c>
      <c r="D565" s="498">
        <v>13.04</v>
      </c>
      <c r="E565" s="499">
        <v>0</v>
      </c>
      <c r="F565" s="499">
        <f t="shared" si="199"/>
        <v>32599.999999999996</v>
      </c>
      <c r="G565" s="609"/>
      <c r="H565" s="513">
        <v>350</v>
      </c>
      <c r="I565" s="498">
        <v>11.56</v>
      </c>
      <c r="J565" s="499">
        <v>0</v>
      </c>
      <c r="K565" s="499">
        <f t="shared" si="202"/>
        <v>4046</v>
      </c>
      <c r="L565" s="497"/>
      <c r="M565" s="499"/>
    </row>
    <row r="566" spans="1:13" x14ac:dyDescent="0.25">
      <c r="A566" s="497"/>
      <c r="B566" s="545">
        <v>42008</v>
      </c>
      <c r="C566" s="497">
        <v>2000</v>
      </c>
      <c r="D566" s="498">
        <v>13.01</v>
      </c>
      <c r="E566" s="499">
        <v>0</v>
      </c>
      <c r="F566" s="499">
        <f t="shared" si="199"/>
        <v>26020</v>
      </c>
      <c r="G566" s="496">
        <v>42447</v>
      </c>
      <c r="H566" s="513">
        <v>1000</v>
      </c>
      <c r="I566" s="498">
        <v>11.62</v>
      </c>
      <c r="J566" s="499">
        <v>0.25</v>
      </c>
      <c r="K566" s="499">
        <f t="shared" si="202"/>
        <v>11619.75</v>
      </c>
      <c r="L566" s="497"/>
      <c r="M566" s="499"/>
    </row>
    <row r="567" spans="1:13" x14ac:dyDescent="0.25">
      <c r="A567" s="497"/>
      <c r="B567" s="545">
        <v>42009</v>
      </c>
      <c r="C567" s="497">
        <v>500</v>
      </c>
      <c r="D567" s="498">
        <v>12.62</v>
      </c>
      <c r="E567" s="499">
        <v>0</v>
      </c>
      <c r="F567" s="499">
        <f t="shared" si="199"/>
        <v>6310</v>
      </c>
      <c r="G567" s="496">
        <v>42451</v>
      </c>
      <c r="H567" s="513">
        <v>1000</v>
      </c>
      <c r="I567" s="498">
        <v>11.45</v>
      </c>
      <c r="J567" s="499">
        <v>0.25</v>
      </c>
      <c r="K567" s="499">
        <f t="shared" si="202"/>
        <v>11449.75</v>
      </c>
      <c r="L567" s="497"/>
      <c r="M567" s="499"/>
    </row>
    <row r="568" spans="1:13" x14ac:dyDescent="0.25">
      <c r="A568" s="497"/>
      <c r="B568" s="545">
        <v>42009</v>
      </c>
      <c r="C568" s="497">
        <v>500</v>
      </c>
      <c r="D568" s="498">
        <v>12.45</v>
      </c>
      <c r="E568" s="499">
        <v>0</v>
      </c>
      <c r="F568" s="499">
        <f t="shared" si="199"/>
        <v>6225</v>
      </c>
      <c r="G568" s="496">
        <v>42451</v>
      </c>
      <c r="H568" s="513">
        <v>50</v>
      </c>
      <c r="I568" s="498">
        <v>11.28</v>
      </c>
      <c r="J568" s="499">
        <v>0.01</v>
      </c>
      <c r="K568" s="499">
        <f t="shared" si="202"/>
        <v>563.99</v>
      </c>
      <c r="L568" s="497"/>
      <c r="M568" s="499"/>
    </row>
    <row r="569" spans="1:13" x14ac:dyDescent="0.25">
      <c r="A569" s="497"/>
      <c r="B569" s="596">
        <v>42374</v>
      </c>
      <c r="C569" s="497">
        <v>2000</v>
      </c>
      <c r="D569" s="498">
        <v>12.73</v>
      </c>
      <c r="E569" s="499">
        <v>0</v>
      </c>
      <c r="F569" s="499">
        <f t="shared" ref="F569:F632" si="203">C569*D569+E569</f>
        <v>25460</v>
      </c>
      <c r="G569" s="496">
        <v>42459</v>
      </c>
      <c r="H569" s="513">
        <v>2000</v>
      </c>
      <c r="I569" s="498">
        <v>10.75</v>
      </c>
      <c r="J569" s="499">
        <v>0.47</v>
      </c>
      <c r="K569" s="499">
        <f t="shared" si="202"/>
        <v>21499.53</v>
      </c>
      <c r="L569" s="497"/>
      <c r="M569" s="499"/>
    </row>
    <row r="570" spans="1:13" x14ac:dyDescent="0.25">
      <c r="A570" s="497"/>
      <c r="B570" s="545">
        <v>42375</v>
      </c>
      <c r="C570" s="497">
        <v>1000</v>
      </c>
      <c r="D570" s="498">
        <v>12.5</v>
      </c>
      <c r="E570" s="499">
        <v>0</v>
      </c>
      <c r="F570" s="499">
        <f t="shared" si="203"/>
        <v>12500</v>
      </c>
      <c r="G570" s="496">
        <v>42460</v>
      </c>
      <c r="H570" s="513">
        <v>1600</v>
      </c>
      <c r="I570" s="498">
        <v>10.95</v>
      </c>
      <c r="J570" s="499">
        <v>2.88</v>
      </c>
      <c r="K570" s="499">
        <f t="shared" si="202"/>
        <v>17517.12</v>
      </c>
      <c r="L570" s="497"/>
      <c r="M570" s="499"/>
    </row>
    <row r="571" spans="1:13" x14ac:dyDescent="0.25">
      <c r="A571" s="497"/>
      <c r="B571" s="545">
        <v>42375</v>
      </c>
      <c r="C571" s="497">
        <v>1000</v>
      </c>
      <c r="D571" s="498">
        <v>11.7</v>
      </c>
      <c r="E571" s="499">
        <v>0</v>
      </c>
      <c r="F571" s="499">
        <f t="shared" si="203"/>
        <v>11700</v>
      </c>
      <c r="G571" s="496">
        <v>42461</v>
      </c>
      <c r="H571" s="513">
        <v>2000</v>
      </c>
      <c r="I571" s="498">
        <v>10.52</v>
      </c>
      <c r="J571" s="499">
        <v>0.46</v>
      </c>
      <c r="K571" s="499">
        <f t="shared" si="202"/>
        <v>21039.54</v>
      </c>
      <c r="L571" s="497"/>
      <c r="M571" s="499"/>
    </row>
    <row r="572" spans="1:13" x14ac:dyDescent="0.25">
      <c r="A572" s="497"/>
      <c r="B572" s="545">
        <v>42402</v>
      </c>
      <c r="C572" s="497">
        <v>400</v>
      </c>
      <c r="D572" s="498">
        <v>9.1</v>
      </c>
      <c r="E572" s="499">
        <v>0</v>
      </c>
      <c r="F572" s="499">
        <f t="shared" si="203"/>
        <v>3640</v>
      </c>
      <c r="G572" s="496">
        <v>42461</v>
      </c>
      <c r="H572" s="513">
        <v>2000</v>
      </c>
      <c r="I572" s="498">
        <v>10.55</v>
      </c>
      <c r="J572" s="499">
        <v>0.46</v>
      </c>
      <c r="K572" s="499">
        <f t="shared" si="202"/>
        <v>21099.54</v>
      </c>
      <c r="L572" s="497"/>
      <c r="M572" s="499"/>
    </row>
    <row r="573" spans="1:13" x14ac:dyDescent="0.25">
      <c r="A573" s="497"/>
      <c r="B573" s="545">
        <v>42411</v>
      </c>
      <c r="C573" s="497">
        <v>500</v>
      </c>
      <c r="D573" s="498">
        <v>6.835</v>
      </c>
      <c r="E573" s="499">
        <v>0</v>
      </c>
      <c r="F573" s="499">
        <f t="shared" si="203"/>
        <v>3417.5</v>
      </c>
      <c r="G573" s="496">
        <v>42465</v>
      </c>
      <c r="H573" s="513">
        <v>100</v>
      </c>
      <c r="I573" s="498">
        <v>10.75</v>
      </c>
      <c r="J573" s="499">
        <v>0.02</v>
      </c>
      <c r="K573" s="499">
        <f t="shared" si="202"/>
        <v>1074.98</v>
      </c>
      <c r="L573" s="497"/>
      <c r="M573" s="499"/>
    </row>
    <row r="574" spans="1:13" x14ac:dyDescent="0.25">
      <c r="A574" s="497"/>
      <c r="B574" s="545">
        <v>42412</v>
      </c>
      <c r="C574" s="497">
        <v>200</v>
      </c>
      <c r="D574" s="498">
        <v>7.23</v>
      </c>
      <c r="E574" s="499">
        <v>0</v>
      </c>
      <c r="F574" s="499">
        <f t="shared" si="203"/>
        <v>1446</v>
      </c>
      <c r="G574" s="496">
        <v>42468</v>
      </c>
      <c r="H574" s="513">
        <v>1000</v>
      </c>
      <c r="I574" s="498">
        <v>11.77</v>
      </c>
      <c r="J574" s="499">
        <v>0.26</v>
      </c>
      <c r="K574" s="499">
        <f t="shared" si="202"/>
        <v>11769.74</v>
      </c>
      <c r="L574" s="497"/>
      <c r="M574" s="499"/>
    </row>
    <row r="575" spans="1:13" x14ac:dyDescent="0.25">
      <c r="A575" s="497"/>
      <c r="B575" s="545">
        <v>42416</v>
      </c>
      <c r="C575" s="497">
        <v>500</v>
      </c>
      <c r="D575" s="498">
        <v>7.5</v>
      </c>
      <c r="E575" s="499">
        <v>0</v>
      </c>
      <c r="F575" s="499">
        <f t="shared" si="203"/>
        <v>3750</v>
      </c>
      <c r="G575" s="609">
        <v>42472</v>
      </c>
      <c r="H575" s="513">
        <v>420</v>
      </c>
      <c r="I575" s="498">
        <v>13.35</v>
      </c>
      <c r="J575" s="499">
        <v>0.15</v>
      </c>
      <c r="K575" s="499">
        <f t="shared" si="202"/>
        <v>5606.85</v>
      </c>
      <c r="L575" s="497"/>
      <c r="M575" s="499"/>
    </row>
    <row r="576" spans="1:13" ht="30" x14ac:dyDescent="0.25">
      <c r="A576" s="497"/>
      <c r="B576" s="612" t="s">
        <v>179</v>
      </c>
      <c r="C576" s="497">
        <v>3000</v>
      </c>
      <c r="D576" s="498">
        <v>7.55</v>
      </c>
      <c r="E576" s="499">
        <v>0</v>
      </c>
      <c r="F576" s="499">
        <f t="shared" si="203"/>
        <v>22650</v>
      </c>
      <c r="G576" s="609"/>
      <c r="H576" s="513">
        <v>80</v>
      </c>
      <c r="I576" s="498">
        <v>13.35</v>
      </c>
      <c r="J576" s="499">
        <v>0</v>
      </c>
      <c r="K576" s="499">
        <f t="shared" si="202"/>
        <v>1068</v>
      </c>
      <c r="L576" s="497"/>
      <c r="M576" s="499"/>
    </row>
    <row r="577" spans="1:13" x14ac:dyDescent="0.25">
      <c r="A577" s="497"/>
      <c r="B577" s="612"/>
      <c r="C577" s="497">
        <v>500</v>
      </c>
      <c r="D577" s="498">
        <v>6.75</v>
      </c>
      <c r="E577" s="499">
        <v>0</v>
      </c>
      <c r="F577" s="499">
        <f t="shared" si="203"/>
        <v>3375</v>
      </c>
      <c r="G577" s="496">
        <v>42472</v>
      </c>
      <c r="H577" s="513">
        <v>500</v>
      </c>
      <c r="I577" s="498">
        <v>13.15</v>
      </c>
      <c r="J577" s="499">
        <v>0.14000000000000001</v>
      </c>
      <c r="K577" s="499">
        <f t="shared" si="202"/>
        <v>6574.86</v>
      </c>
      <c r="L577" s="497"/>
      <c r="M577" s="499"/>
    </row>
    <row r="578" spans="1:13" x14ac:dyDescent="0.25">
      <c r="A578" s="497"/>
      <c r="B578" s="612"/>
      <c r="C578" s="497">
        <v>300</v>
      </c>
      <c r="D578" s="498">
        <v>6.75</v>
      </c>
      <c r="E578" s="499">
        <v>0</v>
      </c>
      <c r="F578" s="499">
        <f t="shared" si="203"/>
        <v>2025</v>
      </c>
      <c r="G578" s="496">
        <v>42472</v>
      </c>
      <c r="H578" s="513">
        <v>500</v>
      </c>
      <c r="I578" s="498">
        <v>12.92</v>
      </c>
      <c r="J578" s="499">
        <v>0.14000000000000001</v>
      </c>
      <c r="K578" s="499">
        <f t="shared" si="202"/>
        <v>6459.86</v>
      </c>
      <c r="L578" s="497"/>
      <c r="M578" s="499"/>
    </row>
    <row r="579" spans="1:13" x14ac:dyDescent="0.25">
      <c r="A579" s="497"/>
      <c r="B579" s="545">
        <v>42426</v>
      </c>
      <c r="C579" s="497">
        <v>600</v>
      </c>
      <c r="D579" s="498">
        <v>7.63</v>
      </c>
      <c r="E579" s="499">
        <v>0</v>
      </c>
      <c r="F579" s="499">
        <f t="shared" si="203"/>
        <v>4578</v>
      </c>
      <c r="G579" s="496">
        <v>42472</v>
      </c>
      <c r="H579" s="513">
        <v>500</v>
      </c>
      <c r="I579" s="498">
        <v>12.59</v>
      </c>
      <c r="J579" s="499">
        <v>0.14000000000000001</v>
      </c>
      <c r="K579" s="499">
        <f t="shared" si="202"/>
        <v>6294.86</v>
      </c>
      <c r="L579" s="497"/>
      <c r="M579" s="499"/>
    </row>
    <row r="580" spans="1:13" x14ac:dyDescent="0.25">
      <c r="A580" s="497"/>
      <c r="B580" s="545">
        <v>42426</v>
      </c>
      <c r="C580" s="497">
        <v>2000</v>
      </c>
      <c r="D580" s="498">
        <v>7.95</v>
      </c>
      <c r="E580" s="499">
        <v>0</v>
      </c>
      <c r="F580" s="499">
        <f t="shared" si="203"/>
        <v>15900</v>
      </c>
      <c r="G580" s="496">
        <v>42474</v>
      </c>
      <c r="H580" s="513">
        <v>500</v>
      </c>
      <c r="I580" s="498">
        <v>13.18</v>
      </c>
      <c r="J580" s="499">
        <v>0.14000000000000001</v>
      </c>
      <c r="K580" s="499">
        <f t="shared" si="202"/>
        <v>6589.86</v>
      </c>
      <c r="L580" s="497"/>
      <c r="M580" s="499"/>
    </row>
    <row r="581" spans="1:13" x14ac:dyDescent="0.25">
      <c r="A581" s="497"/>
      <c r="B581" s="545">
        <v>42429</v>
      </c>
      <c r="C581" s="497">
        <v>2000</v>
      </c>
      <c r="D581" s="498">
        <v>8.1999999999999993</v>
      </c>
      <c r="E581" s="499">
        <v>0</v>
      </c>
      <c r="F581" s="499">
        <f t="shared" si="203"/>
        <v>16400</v>
      </c>
      <c r="G581" s="496">
        <v>42478</v>
      </c>
      <c r="H581" s="513">
        <v>500</v>
      </c>
      <c r="I581" s="498">
        <v>13.4</v>
      </c>
      <c r="J581" s="499">
        <v>0.15</v>
      </c>
      <c r="K581" s="499">
        <f t="shared" si="202"/>
        <v>6699.85</v>
      </c>
      <c r="L581" s="497"/>
      <c r="M581" s="499"/>
    </row>
    <row r="582" spans="1:13" x14ac:dyDescent="0.25">
      <c r="A582" s="499"/>
      <c r="B582" s="545">
        <v>42429</v>
      </c>
      <c r="C582" s="497">
        <v>500</v>
      </c>
      <c r="D582" s="498">
        <v>7.88</v>
      </c>
      <c r="E582" s="499">
        <v>0</v>
      </c>
      <c r="F582" s="499">
        <f t="shared" si="203"/>
        <v>3940</v>
      </c>
      <c r="G582" s="496">
        <v>42486</v>
      </c>
      <c r="H582" s="513">
        <v>500</v>
      </c>
      <c r="I582" s="498">
        <v>14.35</v>
      </c>
      <c r="J582" s="499">
        <v>0.16</v>
      </c>
      <c r="K582" s="499">
        <f t="shared" si="202"/>
        <v>7174.84</v>
      </c>
      <c r="L582" s="497"/>
      <c r="M582" s="499"/>
    </row>
    <row r="583" spans="1:13" x14ac:dyDescent="0.25">
      <c r="A583" s="497"/>
      <c r="B583" s="545">
        <v>42430</v>
      </c>
      <c r="C583" s="497">
        <v>1000</v>
      </c>
      <c r="D583" s="498">
        <v>7.77</v>
      </c>
      <c r="E583" s="499">
        <v>0</v>
      </c>
      <c r="F583" s="499">
        <f t="shared" si="203"/>
        <v>7770</v>
      </c>
      <c r="G583" s="496">
        <v>42487</v>
      </c>
      <c r="H583" s="513">
        <v>600</v>
      </c>
      <c r="I583" s="498">
        <v>14.85</v>
      </c>
      <c r="J583" s="499">
        <v>0.19</v>
      </c>
      <c r="K583" s="499">
        <f t="shared" si="202"/>
        <v>8909.81</v>
      </c>
      <c r="L583" s="497"/>
      <c r="M583" s="499"/>
    </row>
    <row r="584" spans="1:13" x14ac:dyDescent="0.25">
      <c r="A584" s="497"/>
      <c r="B584" s="545">
        <v>42430</v>
      </c>
      <c r="C584" s="497">
        <v>500</v>
      </c>
      <c r="D584" s="498">
        <v>7.94</v>
      </c>
      <c r="E584" s="499">
        <v>0</v>
      </c>
      <c r="F584" s="499">
        <f t="shared" si="203"/>
        <v>3970</v>
      </c>
      <c r="G584" s="496">
        <v>42489</v>
      </c>
      <c r="H584" s="513">
        <v>3000</v>
      </c>
      <c r="I584" s="498">
        <v>14.15</v>
      </c>
      <c r="J584" s="499">
        <v>0.93</v>
      </c>
      <c r="K584" s="499">
        <f t="shared" si="202"/>
        <v>42449.07</v>
      </c>
      <c r="L584" s="497"/>
      <c r="M584" s="499"/>
    </row>
    <row r="585" spans="1:13" x14ac:dyDescent="0.25">
      <c r="A585" s="497"/>
      <c r="B585" s="545">
        <v>42431</v>
      </c>
      <c r="C585" s="497">
        <v>1000</v>
      </c>
      <c r="D585" s="498">
        <v>8.3699999999999992</v>
      </c>
      <c r="E585" s="499">
        <v>0</v>
      </c>
      <c r="F585" s="499">
        <f t="shared" si="203"/>
        <v>8370</v>
      </c>
      <c r="G585" s="496">
        <v>42492</v>
      </c>
      <c r="H585" s="513">
        <v>1000</v>
      </c>
      <c r="I585" s="498">
        <v>13.48</v>
      </c>
      <c r="J585" s="499">
        <v>0.28999999999999998</v>
      </c>
      <c r="K585" s="499">
        <f t="shared" si="202"/>
        <v>13479.71</v>
      </c>
      <c r="L585" s="497"/>
      <c r="M585" s="499"/>
    </row>
    <row r="586" spans="1:13" x14ac:dyDescent="0.25">
      <c r="A586" s="497"/>
      <c r="B586" s="545">
        <v>42432</v>
      </c>
      <c r="C586" s="497">
        <v>600</v>
      </c>
      <c r="D586" s="498">
        <v>9.3699999999999992</v>
      </c>
      <c r="E586" s="499">
        <v>0</v>
      </c>
      <c r="F586" s="499">
        <f t="shared" si="203"/>
        <v>5621.9999999999991</v>
      </c>
      <c r="G586" s="496">
        <v>42492</v>
      </c>
      <c r="H586" s="513">
        <v>1000</v>
      </c>
      <c r="I586" s="498">
        <v>13.61</v>
      </c>
      <c r="J586" s="499">
        <v>0.3</v>
      </c>
      <c r="K586" s="499">
        <f t="shared" si="202"/>
        <v>13609.7</v>
      </c>
      <c r="L586" s="497"/>
      <c r="M586" s="499"/>
    </row>
    <row r="587" spans="1:13" x14ac:dyDescent="0.25">
      <c r="A587" s="497"/>
      <c r="B587" s="545">
        <v>42432</v>
      </c>
      <c r="C587" s="497">
        <v>600</v>
      </c>
      <c r="D587" s="498">
        <v>8.8800000000000008</v>
      </c>
      <c r="E587" s="499">
        <v>0</v>
      </c>
      <c r="F587" s="499">
        <f t="shared" si="203"/>
        <v>5328.0000000000009</v>
      </c>
      <c r="G587" s="496">
        <v>42493</v>
      </c>
      <c r="H587" s="513">
        <v>322</v>
      </c>
      <c r="I587" s="498">
        <v>13.28</v>
      </c>
      <c r="J587" s="499">
        <v>0.09</v>
      </c>
      <c r="K587" s="499">
        <f t="shared" si="202"/>
        <v>4276.07</v>
      </c>
      <c r="L587" s="497"/>
      <c r="M587" s="499"/>
    </row>
    <row r="588" spans="1:13" x14ac:dyDescent="0.25">
      <c r="A588" s="497"/>
      <c r="B588" s="545">
        <v>42433</v>
      </c>
      <c r="C588" s="497">
        <v>600</v>
      </c>
      <c r="D588" s="498">
        <v>10.42</v>
      </c>
      <c r="E588" s="499">
        <v>0</v>
      </c>
      <c r="F588" s="499">
        <f t="shared" si="203"/>
        <v>6252</v>
      </c>
      <c r="G588" s="496">
        <v>42495</v>
      </c>
      <c r="H588" s="513">
        <v>1000</v>
      </c>
      <c r="I588" s="498">
        <v>12.05</v>
      </c>
      <c r="J588" s="499">
        <v>0.26</v>
      </c>
      <c r="K588" s="499">
        <f t="shared" si="202"/>
        <v>12049.74</v>
      </c>
      <c r="L588" s="497"/>
      <c r="M588" s="499"/>
    </row>
    <row r="589" spans="1:13" x14ac:dyDescent="0.25">
      <c r="A589" s="497"/>
      <c r="B589" s="545">
        <v>42440</v>
      </c>
      <c r="C589" s="497">
        <v>400</v>
      </c>
      <c r="D589" s="498">
        <v>11.12</v>
      </c>
      <c r="E589" s="499">
        <v>0</v>
      </c>
      <c r="F589" s="499">
        <f t="shared" si="203"/>
        <v>4448</v>
      </c>
      <c r="G589" s="496">
        <v>42495</v>
      </c>
      <c r="H589" s="513">
        <v>2000</v>
      </c>
      <c r="I589" s="498">
        <v>12.63</v>
      </c>
      <c r="J589" s="499">
        <v>0.55000000000000004</v>
      </c>
      <c r="K589" s="499">
        <f t="shared" si="202"/>
        <v>25259.45</v>
      </c>
      <c r="L589" s="497"/>
      <c r="M589" s="499"/>
    </row>
    <row r="590" spans="1:13" x14ac:dyDescent="0.25">
      <c r="A590" s="497"/>
      <c r="B590" s="545">
        <v>42446</v>
      </c>
      <c r="C590" s="497">
        <v>1500</v>
      </c>
      <c r="D590" s="498">
        <v>11.445</v>
      </c>
      <c r="E590" s="499">
        <v>0</v>
      </c>
      <c r="F590" s="499">
        <f t="shared" si="203"/>
        <v>17167.5</v>
      </c>
      <c r="G590" s="496">
        <v>42500</v>
      </c>
      <c r="H590" s="513">
        <v>1000</v>
      </c>
      <c r="I590" s="498">
        <v>11.66</v>
      </c>
      <c r="J590" s="499">
        <v>5.25</v>
      </c>
      <c r="K590" s="499">
        <f t="shared" si="202"/>
        <v>11654.75</v>
      </c>
      <c r="L590" s="497"/>
      <c r="M590" s="499"/>
    </row>
    <row r="591" spans="1:13" x14ac:dyDescent="0.25">
      <c r="A591" s="497"/>
      <c r="B591" s="608">
        <v>42447</v>
      </c>
      <c r="C591" s="497">
        <v>1500</v>
      </c>
      <c r="D591" s="498">
        <v>11.42</v>
      </c>
      <c r="E591" s="499">
        <v>0</v>
      </c>
      <c r="F591" s="499">
        <f t="shared" si="203"/>
        <v>17130</v>
      </c>
      <c r="G591" s="496">
        <v>42502</v>
      </c>
      <c r="H591" s="513">
        <v>1500</v>
      </c>
      <c r="I591" s="498">
        <v>12.36</v>
      </c>
      <c r="J591" s="499">
        <v>0.4</v>
      </c>
      <c r="K591" s="499">
        <f t="shared" si="202"/>
        <v>18539.599999999999</v>
      </c>
      <c r="L591" s="497"/>
      <c r="M591" s="499"/>
    </row>
    <row r="592" spans="1:13" x14ac:dyDescent="0.25">
      <c r="A592" s="497"/>
      <c r="B592" s="613"/>
      <c r="C592" s="497">
        <v>500</v>
      </c>
      <c r="D592" s="498">
        <v>11.42</v>
      </c>
      <c r="E592" s="499">
        <v>0</v>
      </c>
      <c r="F592" s="499">
        <f t="shared" si="203"/>
        <v>5710</v>
      </c>
      <c r="G592" s="496">
        <v>42503</v>
      </c>
      <c r="H592" s="513">
        <v>500</v>
      </c>
      <c r="I592" s="498">
        <v>12.49</v>
      </c>
      <c r="J592" s="499">
        <v>0.14000000000000001</v>
      </c>
      <c r="K592" s="499">
        <f t="shared" si="202"/>
        <v>6244.86</v>
      </c>
      <c r="L592" s="497"/>
      <c r="M592" s="499"/>
    </row>
    <row r="593" spans="1:13" x14ac:dyDescent="0.25">
      <c r="A593" s="497"/>
      <c r="B593" s="545">
        <v>42447</v>
      </c>
      <c r="C593" s="497">
        <v>650</v>
      </c>
      <c r="D593" s="498">
        <v>11.545</v>
      </c>
      <c r="E593" s="499">
        <v>0.75</v>
      </c>
      <c r="F593" s="499">
        <f t="shared" si="203"/>
        <v>7505</v>
      </c>
      <c r="G593" s="496">
        <v>42506</v>
      </c>
      <c r="H593" s="513">
        <v>300</v>
      </c>
      <c r="I593" s="498">
        <v>12.85</v>
      </c>
      <c r="J593" s="499">
        <v>0.08</v>
      </c>
      <c r="K593" s="499">
        <f t="shared" si="202"/>
        <v>3854.92</v>
      </c>
      <c r="L593" s="497"/>
      <c r="M593" s="499"/>
    </row>
    <row r="594" spans="1:13" x14ac:dyDescent="0.25">
      <c r="A594" s="497"/>
      <c r="B594" s="545">
        <v>42450</v>
      </c>
      <c r="C594" s="497">
        <v>1350</v>
      </c>
      <c r="D594" s="498">
        <v>11.42</v>
      </c>
      <c r="E594" s="499">
        <v>0</v>
      </c>
      <c r="F594" s="499">
        <f t="shared" si="203"/>
        <v>15417</v>
      </c>
      <c r="G594" s="496">
        <v>42513</v>
      </c>
      <c r="H594" s="513">
        <v>500</v>
      </c>
      <c r="I594" s="498">
        <v>13.05</v>
      </c>
      <c r="J594" s="499">
        <v>0.14000000000000001</v>
      </c>
      <c r="K594" s="499">
        <f t="shared" si="202"/>
        <v>6524.86</v>
      </c>
      <c r="L594" s="497"/>
      <c r="M594" s="499"/>
    </row>
    <row r="595" spans="1:13" x14ac:dyDescent="0.25">
      <c r="A595" s="497"/>
      <c r="B595" s="545">
        <v>42451</v>
      </c>
      <c r="C595" s="497">
        <v>1000</v>
      </c>
      <c r="D595" s="498">
        <v>11.38</v>
      </c>
      <c r="E595" s="499">
        <v>0</v>
      </c>
      <c r="F595" s="499">
        <f t="shared" si="203"/>
        <v>11380</v>
      </c>
      <c r="G595" s="496">
        <v>42515</v>
      </c>
      <c r="H595" s="513">
        <v>500</v>
      </c>
      <c r="I595" s="498">
        <v>13.59</v>
      </c>
      <c r="J595" s="499">
        <v>0.15</v>
      </c>
      <c r="K595" s="499">
        <f t="shared" si="202"/>
        <v>6794.85</v>
      </c>
      <c r="L595" s="497"/>
      <c r="M595" s="499"/>
    </row>
    <row r="596" spans="1:13" x14ac:dyDescent="0.25">
      <c r="A596" s="497"/>
      <c r="B596" s="608">
        <v>42451</v>
      </c>
      <c r="C596" s="497">
        <v>50</v>
      </c>
      <c r="D596" s="498">
        <v>11.22</v>
      </c>
      <c r="E596" s="499">
        <v>0</v>
      </c>
      <c r="F596" s="499">
        <f t="shared" si="203"/>
        <v>561</v>
      </c>
      <c r="G596" s="496">
        <v>42515</v>
      </c>
      <c r="H596" s="513">
        <v>500</v>
      </c>
      <c r="I596" s="498">
        <v>13.57</v>
      </c>
      <c r="J596" s="499">
        <v>0.15</v>
      </c>
      <c r="K596" s="499">
        <f t="shared" si="202"/>
        <v>6784.85</v>
      </c>
      <c r="L596" s="497"/>
      <c r="M596" s="499"/>
    </row>
    <row r="597" spans="1:13" x14ac:dyDescent="0.25">
      <c r="A597" s="497"/>
      <c r="B597" s="608"/>
      <c r="C597" s="497">
        <v>350</v>
      </c>
      <c r="D597" s="498">
        <v>11.22</v>
      </c>
      <c r="E597" s="499">
        <v>0</v>
      </c>
      <c r="F597" s="499">
        <f t="shared" si="203"/>
        <v>3927</v>
      </c>
      <c r="G597" s="496">
        <v>42517</v>
      </c>
      <c r="H597" s="513">
        <v>500</v>
      </c>
      <c r="I597" s="498">
        <v>12.87</v>
      </c>
      <c r="J597" s="499">
        <v>0.14000000000000001</v>
      </c>
      <c r="K597" s="499">
        <f t="shared" si="202"/>
        <v>6434.86</v>
      </c>
      <c r="L597" s="497"/>
      <c r="M597" s="499"/>
    </row>
    <row r="598" spans="1:13" ht="45" x14ac:dyDescent="0.25">
      <c r="A598" s="497"/>
      <c r="B598" s="612" t="s">
        <v>192</v>
      </c>
      <c r="C598" s="497">
        <v>650</v>
      </c>
      <c r="D598" s="498">
        <v>11.22</v>
      </c>
      <c r="E598" s="499">
        <v>0</v>
      </c>
      <c r="F598" s="499">
        <f t="shared" si="203"/>
        <v>7293</v>
      </c>
      <c r="G598" s="496">
        <v>42524</v>
      </c>
      <c r="H598" s="513">
        <v>400</v>
      </c>
      <c r="I598" s="498">
        <v>13.38</v>
      </c>
      <c r="J598" s="499">
        <v>0.12</v>
      </c>
      <c r="K598" s="499">
        <f t="shared" si="202"/>
        <v>5351.88</v>
      </c>
      <c r="L598" s="497"/>
      <c r="M598" s="499"/>
    </row>
    <row r="599" spans="1:13" x14ac:dyDescent="0.25">
      <c r="A599" s="497"/>
      <c r="B599" s="612"/>
      <c r="C599" s="497">
        <v>500</v>
      </c>
      <c r="D599" s="498">
        <v>11.01</v>
      </c>
      <c r="E599" s="499">
        <v>0</v>
      </c>
      <c r="F599" s="499">
        <f t="shared" si="203"/>
        <v>5505</v>
      </c>
      <c r="G599" s="496">
        <v>42527</v>
      </c>
      <c r="H599" s="513">
        <v>1000</v>
      </c>
      <c r="I599" s="498">
        <v>13.82</v>
      </c>
      <c r="J599" s="499">
        <v>0.3</v>
      </c>
      <c r="K599" s="499">
        <f t="shared" si="202"/>
        <v>13819.7</v>
      </c>
      <c r="L599" s="497"/>
      <c r="M599" s="499"/>
    </row>
    <row r="600" spans="1:13" x14ac:dyDescent="0.25">
      <c r="A600" s="497"/>
      <c r="B600" s="612"/>
      <c r="C600" s="497">
        <v>500</v>
      </c>
      <c r="D600" s="498">
        <v>10.75</v>
      </c>
      <c r="E600" s="499">
        <v>0</v>
      </c>
      <c r="F600" s="499">
        <f t="shared" si="203"/>
        <v>5375</v>
      </c>
      <c r="G600" s="496">
        <v>42527</v>
      </c>
      <c r="H600" s="513">
        <v>500</v>
      </c>
      <c r="I600" s="498">
        <v>13.97</v>
      </c>
      <c r="J600" s="499">
        <v>1.1499999999999999</v>
      </c>
      <c r="K600" s="499">
        <f t="shared" si="202"/>
        <v>6983.85</v>
      </c>
      <c r="L600" s="497"/>
      <c r="M600" s="499"/>
    </row>
    <row r="601" spans="1:13" x14ac:dyDescent="0.25">
      <c r="A601" s="497"/>
      <c r="B601" s="612"/>
      <c r="C601" s="497">
        <v>1000</v>
      </c>
      <c r="D601" s="498">
        <v>10.4</v>
      </c>
      <c r="E601" s="499">
        <v>0</v>
      </c>
      <c r="F601" s="499">
        <f t="shared" si="203"/>
        <v>10400</v>
      </c>
      <c r="G601" s="496">
        <v>42528</v>
      </c>
      <c r="H601" s="513">
        <v>500</v>
      </c>
      <c r="I601" s="498">
        <v>14.65</v>
      </c>
      <c r="J601" s="499">
        <v>0.16</v>
      </c>
      <c r="K601" s="499">
        <f t="shared" si="202"/>
        <v>7324.84</v>
      </c>
      <c r="L601" s="497"/>
      <c r="M601" s="499"/>
    </row>
    <row r="602" spans="1:13" x14ac:dyDescent="0.25">
      <c r="A602" s="497"/>
      <c r="B602" s="612"/>
      <c r="C602" s="497">
        <v>1000</v>
      </c>
      <c r="D602" s="498">
        <v>10.185</v>
      </c>
      <c r="E602" s="499">
        <v>0</v>
      </c>
      <c r="F602" s="499">
        <f t="shared" si="203"/>
        <v>10185</v>
      </c>
      <c r="G602" s="496">
        <v>42536</v>
      </c>
      <c r="H602" s="513">
        <v>400</v>
      </c>
      <c r="I602" s="498">
        <v>13.43</v>
      </c>
      <c r="J602" s="499">
        <v>0.12</v>
      </c>
      <c r="K602" s="499">
        <f t="shared" si="202"/>
        <v>5371.88</v>
      </c>
      <c r="L602" s="497"/>
      <c r="M602" s="499"/>
    </row>
    <row r="603" spans="1:13" x14ac:dyDescent="0.25">
      <c r="A603" s="497"/>
      <c r="B603" s="545">
        <v>42461</v>
      </c>
      <c r="C603" s="497">
        <v>2000</v>
      </c>
      <c r="D603" s="498">
        <v>10.43</v>
      </c>
      <c r="E603" s="499">
        <v>0</v>
      </c>
      <c r="F603" s="499">
        <f t="shared" si="203"/>
        <v>20860</v>
      </c>
      <c r="G603" s="496">
        <v>42537</v>
      </c>
      <c r="H603" s="513">
        <v>400</v>
      </c>
      <c r="I603" s="498">
        <v>12.69</v>
      </c>
      <c r="J603" s="499">
        <v>0.11</v>
      </c>
      <c r="K603" s="499">
        <f t="shared" si="202"/>
        <v>5075.8900000000003</v>
      </c>
      <c r="L603" s="497"/>
      <c r="M603" s="499"/>
    </row>
    <row r="604" spans="1:13" x14ac:dyDescent="0.25">
      <c r="A604" s="497"/>
      <c r="B604" s="545">
        <v>42461</v>
      </c>
      <c r="C604" s="497">
        <v>2000</v>
      </c>
      <c r="D604" s="498">
        <v>10.42</v>
      </c>
      <c r="E604" s="499">
        <v>0</v>
      </c>
      <c r="F604" s="499">
        <f t="shared" si="203"/>
        <v>20840</v>
      </c>
      <c r="G604" s="496">
        <v>42538</v>
      </c>
      <c r="H604" s="513">
        <v>500</v>
      </c>
      <c r="I604" s="498">
        <v>13.34</v>
      </c>
      <c r="J604" s="499">
        <v>0.15</v>
      </c>
      <c r="K604" s="499">
        <f t="shared" si="202"/>
        <v>6669.85</v>
      </c>
      <c r="L604" s="497"/>
      <c r="M604" s="499"/>
    </row>
    <row r="605" spans="1:13" ht="45" x14ac:dyDescent="0.25">
      <c r="A605" s="497"/>
      <c r="B605" s="545">
        <v>42465</v>
      </c>
      <c r="C605" s="497">
        <v>100</v>
      </c>
      <c r="D605" s="498">
        <v>10.4</v>
      </c>
      <c r="E605" s="499">
        <v>0</v>
      </c>
      <c r="F605" s="499">
        <f t="shared" si="203"/>
        <v>1040</v>
      </c>
      <c r="G605" s="614" t="s">
        <v>218</v>
      </c>
      <c r="H605" s="513">
        <v>500</v>
      </c>
      <c r="I605" s="498">
        <v>13.91</v>
      </c>
      <c r="J605" s="499">
        <v>0.15</v>
      </c>
      <c r="K605" s="499">
        <f t="shared" si="202"/>
        <v>6954.85</v>
      </c>
      <c r="L605" s="497"/>
      <c r="M605" s="499"/>
    </row>
    <row r="606" spans="1:13" x14ac:dyDescent="0.25">
      <c r="A606" s="497"/>
      <c r="B606" s="545">
        <v>42471</v>
      </c>
      <c r="C606" s="497">
        <v>500</v>
      </c>
      <c r="D606" s="498">
        <v>11.77</v>
      </c>
      <c r="E606" s="499">
        <v>0</v>
      </c>
      <c r="F606" s="499">
        <f t="shared" si="203"/>
        <v>5885</v>
      </c>
      <c r="G606" s="614"/>
      <c r="H606" s="513">
        <v>600</v>
      </c>
      <c r="I606" s="498">
        <v>14.36</v>
      </c>
      <c r="J606" s="499">
        <v>0.19</v>
      </c>
      <c r="K606" s="499">
        <f t="shared" si="202"/>
        <v>8615.81</v>
      </c>
      <c r="L606" s="497"/>
      <c r="M606" s="499"/>
    </row>
    <row r="607" spans="1:13" x14ac:dyDescent="0.25">
      <c r="A607" s="497"/>
      <c r="B607" s="545">
        <v>42471</v>
      </c>
      <c r="C607" s="497">
        <v>500</v>
      </c>
      <c r="D607" s="498">
        <v>11.55</v>
      </c>
      <c r="E607" s="499">
        <v>0</v>
      </c>
      <c r="F607" s="499">
        <f t="shared" si="203"/>
        <v>5775</v>
      </c>
      <c r="G607" s="614"/>
      <c r="H607" s="513">
        <v>500</v>
      </c>
      <c r="I607" s="498">
        <v>14.65</v>
      </c>
      <c r="J607" s="499">
        <v>0.16</v>
      </c>
      <c r="K607" s="499">
        <f t="shared" si="202"/>
        <v>7324.84</v>
      </c>
      <c r="L607" s="497"/>
      <c r="M607" s="499"/>
    </row>
    <row r="608" spans="1:13" x14ac:dyDescent="0.25">
      <c r="A608" s="497"/>
      <c r="B608" s="545">
        <v>42472</v>
      </c>
      <c r="C608" s="497">
        <v>610</v>
      </c>
      <c r="D608" s="498">
        <v>12.95</v>
      </c>
      <c r="E608" s="499">
        <v>0</v>
      </c>
      <c r="F608" s="499">
        <f t="shared" si="203"/>
        <v>7899.5</v>
      </c>
      <c r="G608" s="496">
        <v>42542</v>
      </c>
      <c r="H608" s="513">
        <v>500</v>
      </c>
      <c r="I608" s="498">
        <v>14.95</v>
      </c>
      <c r="J608" s="499">
        <v>0.16</v>
      </c>
      <c r="K608" s="499">
        <f t="shared" si="202"/>
        <v>7474.84</v>
      </c>
      <c r="L608" s="497"/>
      <c r="M608" s="499"/>
    </row>
    <row r="609" spans="1:13" x14ac:dyDescent="0.25">
      <c r="A609" s="497"/>
      <c r="B609" s="545">
        <v>42473</v>
      </c>
      <c r="C609" s="497">
        <v>970</v>
      </c>
      <c r="D609" s="498">
        <v>12.76</v>
      </c>
      <c r="E609" s="499">
        <v>4.0999999999999996</v>
      </c>
      <c r="F609" s="499">
        <f t="shared" si="203"/>
        <v>12381.3</v>
      </c>
      <c r="G609" s="496">
        <v>42542</v>
      </c>
      <c r="H609" s="513">
        <v>378</v>
      </c>
      <c r="I609" s="498">
        <v>15.2</v>
      </c>
      <c r="J609" s="499">
        <v>0.13</v>
      </c>
      <c r="K609" s="499">
        <f t="shared" si="202"/>
        <v>5745.4699999999993</v>
      </c>
      <c r="L609" s="497"/>
      <c r="M609" s="499"/>
    </row>
    <row r="610" spans="1:13" x14ac:dyDescent="0.25">
      <c r="A610" s="497"/>
      <c r="B610" s="545">
        <v>42474</v>
      </c>
      <c r="C610" s="497">
        <v>420</v>
      </c>
      <c r="D610" s="498">
        <v>12.755000000000001</v>
      </c>
      <c r="E610" s="499">
        <v>0.34</v>
      </c>
      <c r="F610" s="499">
        <f t="shared" si="203"/>
        <v>5357.4400000000005</v>
      </c>
      <c r="G610" s="497"/>
      <c r="H610" s="513"/>
      <c r="I610" s="498"/>
      <c r="J610" s="499"/>
      <c r="K610" s="499"/>
      <c r="L610" s="497"/>
      <c r="M610" s="499"/>
    </row>
    <row r="611" spans="1:13" x14ac:dyDescent="0.25">
      <c r="A611" s="497"/>
      <c r="B611" s="545">
        <v>42475</v>
      </c>
      <c r="C611" s="497">
        <v>500</v>
      </c>
      <c r="D611" s="498">
        <v>13.02</v>
      </c>
      <c r="E611" s="499">
        <v>-1.75</v>
      </c>
      <c r="F611" s="499">
        <f t="shared" si="203"/>
        <v>6508.25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497"/>
      <c r="B612" s="545">
        <v>42485</v>
      </c>
      <c r="C612" s="497">
        <v>500</v>
      </c>
      <c r="D612" s="498">
        <v>13.95</v>
      </c>
      <c r="E612" s="499">
        <v>0</v>
      </c>
      <c r="F612" s="499">
        <f t="shared" si="203"/>
        <v>6975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497"/>
      <c r="B613" s="545">
        <v>42487</v>
      </c>
      <c r="C613" s="497">
        <v>600</v>
      </c>
      <c r="D613" s="498">
        <v>14.63</v>
      </c>
      <c r="E613" s="499">
        <v>0</v>
      </c>
      <c r="F613" s="499">
        <f t="shared" si="203"/>
        <v>8778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497"/>
      <c r="B614" s="545">
        <v>42488</v>
      </c>
      <c r="C614" s="497">
        <v>500</v>
      </c>
      <c r="D614" s="498">
        <v>14.52</v>
      </c>
      <c r="E614" s="499">
        <v>0</v>
      </c>
      <c r="F614" s="499">
        <f t="shared" si="203"/>
        <v>7260</v>
      </c>
      <c r="G614" s="497"/>
      <c r="H614" s="513"/>
      <c r="I614" s="498"/>
      <c r="J614" s="499"/>
      <c r="K614" s="499"/>
      <c r="L614" s="497"/>
      <c r="M614" s="499"/>
    </row>
    <row r="615" spans="1:13" ht="30" x14ac:dyDescent="0.25">
      <c r="A615" s="615" t="s">
        <v>197</v>
      </c>
      <c r="B615" s="545">
        <v>42489</v>
      </c>
      <c r="C615" s="497">
        <v>500</v>
      </c>
      <c r="D615" s="498">
        <v>14.35</v>
      </c>
      <c r="E615" s="499">
        <v>0</v>
      </c>
      <c r="F615" s="499">
        <f t="shared" si="203"/>
        <v>7175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615"/>
      <c r="B616" s="545">
        <v>42489</v>
      </c>
      <c r="C616" s="497">
        <v>500</v>
      </c>
      <c r="D616" s="498">
        <v>14.15</v>
      </c>
      <c r="E616" s="499">
        <v>0</v>
      </c>
      <c r="F616" s="499">
        <f t="shared" si="203"/>
        <v>7075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615"/>
      <c r="B617" s="545">
        <v>42489</v>
      </c>
      <c r="C617" s="497">
        <v>1000</v>
      </c>
      <c r="D617" s="498">
        <v>13.92</v>
      </c>
      <c r="E617" s="499">
        <v>0</v>
      </c>
      <c r="F617" s="499">
        <f t="shared" si="203"/>
        <v>13920</v>
      </c>
      <c r="G617" s="497"/>
      <c r="H617" s="513"/>
      <c r="I617" s="498"/>
      <c r="J617" s="499"/>
      <c r="K617" s="499"/>
      <c r="L617" s="497"/>
      <c r="M617" s="499"/>
    </row>
    <row r="618" spans="1:13" x14ac:dyDescent="0.25">
      <c r="A618" s="615"/>
      <c r="B618" s="545">
        <v>42489</v>
      </c>
      <c r="C618" s="497">
        <v>1000</v>
      </c>
      <c r="D618" s="498">
        <v>13.8</v>
      </c>
      <c r="E618" s="499">
        <v>0</v>
      </c>
      <c r="F618" s="499">
        <f t="shared" si="203"/>
        <v>13800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497"/>
      <c r="B619" s="545">
        <v>42492</v>
      </c>
      <c r="C619" s="497">
        <v>1500</v>
      </c>
      <c r="D619" s="498">
        <v>13.25</v>
      </c>
      <c r="E619" s="499">
        <v>0</v>
      </c>
      <c r="F619" s="499">
        <f t="shared" si="203"/>
        <v>19875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497"/>
      <c r="B620" s="545">
        <v>42492</v>
      </c>
      <c r="C620" s="497">
        <v>500</v>
      </c>
      <c r="D620" s="498">
        <v>13.6</v>
      </c>
      <c r="E620" s="499">
        <v>0</v>
      </c>
      <c r="F620" s="499">
        <f t="shared" si="203"/>
        <v>6800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42493</v>
      </c>
      <c r="C621" s="497">
        <v>322</v>
      </c>
      <c r="D621" s="498">
        <v>12.85</v>
      </c>
      <c r="E621" s="499">
        <v>0</v>
      </c>
      <c r="F621" s="499">
        <f t="shared" si="203"/>
        <v>4137.7</v>
      </c>
      <c r="G621" s="497"/>
      <c r="H621" s="513"/>
      <c r="I621" s="498"/>
      <c r="J621" s="499"/>
      <c r="K621" s="499"/>
      <c r="L621" s="497"/>
      <c r="M621" s="499"/>
    </row>
    <row r="622" spans="1:13" ht="30" x14ac:dyDescent="0.25">
      <c r="A622" s="599" t="s">
        <v>201</v>
      </c>
      <c r="B622" s="545">
        <v>42494</v>
      </c>
      <c r="C622" s="497">
        <v>1000</v>
      </c>
      <c r="D622" s="498">
        <v>12.25</v>
      </c>
      <c r="E622" s="499">
        <v>0</v>
      </c>
      <c r="F622" s="499">
        <f t="shared" si="203"/>
        <v>12250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599"/>
      <c r="B623" s="545">
        <v>42494</v>
      </c>
      <c r="C623" s="497">
        <v>500</v>
      </c>
      <c r="D623" s="498">
        <v>12.53</v>
      </c>
      <c r="E623" s="499">
        <v>0</v>
      </c>
      <c r="F623" s="499">
        <f t="shared" si="203"/>
        <v>6265</v>
      </c>
      <c r="G623" s="497"/>
      <c r="H623" s="513"/>
      <c r="I623" s="498"/>
      <c r="J623" s="499"/>
      <c r="K623" s="499"/>
      <c r="L623" s="497"/>
      <c r="M623" s="499"/>
    </row>
    <row r="624" spans="1:13" x14ac:dyDescent="0.25">
      <c r="A624" s="599"/>
      <c r="B624" s="545">
        <v>42494</v>
      </c>
      <c r="C624" s="497">
        <v>500</v>
      </c>
      <c r="D624" s="498">
        <v>12.65</v>
      </c>
      <c r="E624" s="499">
        <v>0</v>
      </c>
      <c r="F624" s="499">
        <f t="shared" si="203"/>
        <v>6325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497"/>
      <c r="B625" s="545">
        <v>42495</v>
      </c>
      <c r="C625" s="497">
        <v>1000</v>
      </c>
      <c r="D625" s="498">
        <v>11.95</v>
      </c>
      <c r="E625" s="499">
        <v>0</v>
      </c>
      <c r="F625" s="499">
        <f t="shared" si="203"/>
        <v>11950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497"/>
      <c r="B626" s="545">
        <v>42499</v>
      </c>
      <c r="C626" s="497">
        <v>500</v>
      </c>
      <c r="D626" s="498">
        <v>11.48</v>
      </c>
      <c r="E626" s="499">
        <v>0</v>
      </c>
      <c r="F626" s="499">
        <f t="shared" si="203"/>
        <v>5740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42499</v>
      </c>
      <c r="C627" s="497">
        <v>500</v>
      </c>
      <c r="D627" s="498">
        <v>11.32</v>
      </c>
      <c r="E627" s="499">
        <v>0</v>
      </c>
      <c r="F627" s="499">
        <f t="shared" si="203"/>
        <v>5660</v>
      </c>
      <c r="G627" s="497"/>
      <c r="H627" s="513"/>
      <c r="I627" s="498"/>
      <c r="J627" s="499"/>
      <c r="K627" s="499"/>
      <c r="L627" s="497"/>
      <c r="M627" s="499"/>
    </row>
    <row r="628" spans="1:13" ht="30" x14ac:dyDescent="0.25">
      <c r="A628" s="615" t="s">
        <v>204</v>
      </c>
      <c r="B628" s="545">
        <v>42502</v>
      </c>
      <c r="C628" s="497">
        <v>500</v>
      </c>
      <c r="D628" s="498">
        <v>12.38</v>
      </c>
      <c r="E628" s="499">
        <v>0</v>
      </c>
      <c r="F628" s="499">
        <f t="shared" si="203"/>
        <v>6190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615"/>
      <c r="B629" s="545">
        <v>42502</v>
      </c>
      <c r="C629" s="497">
        <v>500</v>
      </c>
      <c r="D629" s="498">
        <v>12.3</v>
      </c>
      <c r="E629" s="499">
        <v>0</v>
      </c>
      <c r="F629" s="499">
        <f t="shared" si="203"/>
        <v>6150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615"/>
      <c r="B630" s="545">
        <v>42502</v>
      </c>
      <c r="C630" s="497">
        <v>500</v>
      </c>
      <c r="D630" s="498">
        <v>12.23</v>
      </c>
      <c r="E630" s="499">
        <v>0</v>
      </c>
      <c r="F630" s="499">
        <f t="shared" si="203"/>
        <v>6115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42503</v>
      </c>
      <c r="C631" s="497">
        <v>500</v>
      </c>
      <c r="D631" s="498">
        <v>12.41</v>
      </c>
      <c r="E631" s="499">
        <v>0</v>
      </c>
      <c r="F631" s="499">
        <f t="shared" si="203"/>
        <v>6205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42506</v>
      </c>
      <c r="C632" s="497">
        <v>300</v>
      </c>
      <c r="D632" s="498">
        <v>12.8</v>
      </c>
      <c r="E632" s="499">
        <v>0</v>
      </c>
      <c r="F632" s="499">
        <f t="shared" si="203"/>
        <v>3840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42514</v>
      </c>
      <c r="C633" s="497">
        <v>500</v>
      </c>
      <c r="D633" s="498">
        <v>13.02</v>
      </c>
      <c r="E633" s="499">
        <v>-1.65</v>
      </c>
      <c r="F633" s="499">
        <f t="shared" ref="F633:F696" si="204">C633*D633+E633</f>
        <v>6508.35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42515</v>
      </c>
      <c r="C634" s="497">
        <v>500</v>
      </c>
      <c r="D634" s="498">
        <v>13.45</v>
      </c>
      <c r="E634" s="499">
        <v>1</v>
      </c>
      <c r="F634" s="499">
        <f t="shared" si="204"/>
        <v>6726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42516</v>
      </c>
      <c r="C635" s="497">
        <v>500</v>
      </c>
      <c r="D635" s="498">
        <v>13.28</v>
      </c>
      <c r="E635" s="499">
        <v>-1.04</v>
      </c>
      <c r="F635" s="499">
        <f t="shared" si="204"/>
        <v>6638.96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42517</v>
      </c>
      <c r="C636" s="497">
        <v>500</v>
      </c>
      <c r="D636" s="498">
        <v>12.79</v>
      </c>
      <c r="E636" s="499">
        <v>0</v>
      </c>
      <c r="F636" s="499">
        <f t="shared" si="204"/>
        <v>6395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42524</v>
      </c>
      <c r="C637" s="497">
        <v>400</v>
      </c>
      <c r="D637" s="498">
        <v>13.28</v>
      </c>
      <c r="E637" s="499">
        <v>0</v>
      </c>
      <c r="F637" s="499">
        <f t="shared" si="204"/>
        <v>5312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42529</v>
      </c>
      <c r="C638" s="497">
        <v>500</v>
      </c>
      <c r="D638" s="498">
        <v>14.59</v>
      </c>
      <c r="E638" s="499">
        <v>0</v>
      </c>
      <c r="F638" s="499">
        <f t="shared" si="204"/>
        <v>7295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42531</v>
      </c>
      <c r="C639" s="497">
        <v>800</v>
      </c>
      <c r="D639" s="498">
        <v>13.79</v>
      </c>
      <c r="E639" s="499">
        <v>0</v>
      </c>
      <c r="F639" s="499">
        <f t="shared" si="204"/>
        <v>11032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42531</v>
      </c>
      <c r="C640" s="497">
        <v>300</v>
      </c>
      <c r="D640" s="498">
        <v>13.4</v>
      </c>
      <c r="E640" s="499">
        <v>0</v>
      </c>
      <c r="F640" s="499">
        <f t="shared" si="204"/>
        <v>4020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42535</v>
      </c>
      <c r="C641" s="497">
        <v>400</v>
      </c>
      <c r="D641" s="498">
        <v>12.85</v>
      </c>
      <c r="E641" s="499">
        <v>0</v>
      </c>
      <c r="F641" s="499">
        <f t="shared" si="204"/>
        <v>5140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42537</v>
      </c>
      <c r="C642" s="497">
        <v>400</v>
      </c>
      <c r="D642" s="498">
        <v>12.43</v>
      </c>
      <c r="E642" s="499">
        <v>-0.04</v>
      </c>
      <c r="F642" s="499">
        <f t="shared" si="204"/>
        <v>4971.96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42538</v>
      </c>
      <c r="C643" s="497">
        <v>500</v>
      </c>
      <c r="D643" s="498">
        <v>13.14</v>
      </c>
      <c r="E643" s="499">
        <v>0</v>
      </c>
      <c r="F643" s="499">
        <f t="shared" si="204"/>
        <v>6570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42543</v>
      </c>
      <c r="C644" s="497">
        <v>500</v>
      </c>
      <c r="D644" s="498">
        <v>14.75</v>
      </c>
      <c r="E644" s="499">
        <v>0</v>
      </c>
      <c r="F644" s="499">
        <f t="shared" si="204"/>
        <v>7375</v>
      </c>
      <c r="G644" s="496">
        <v>42544</v>
      </c>
      <c r="H644" s="513">
        <v>500</v>
      </c>
      <c r="I644" s="498">
        <v>15.24</v>
      </c>
      <c r="J644" s="499">
        <v>0.17</v>
      </c>
      <c r="K644" s="499">
        <f>H644*I644-J644</f>
        <v>7619.83</v>
      </c>
      <c r="L644" s="497"/>
      <c r="M644" s="499"/>
    </row>
    <row r="645" spans="1:13" x14ac:dyDescent="0.25">
      <c r="A645" s="497"/>
      <c r="B645" s="545">
        <v>42545</v>
      </c>
      <c r="C645" s="497">
        <v>878</v>
      </c>
      <c r="D645" s="498">
        <v>14.41</v>
      </c>
      <c r="E645" s="499">
        <v>0</v>
      </c>
      <c r="F645" s="499">
        <f t="shared" si="204"/>
        <v>12651.98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42545</v>
      </c>
      <c r="C646" s="497">
        <v>335</v>
      </c>
      <c r="D646" s="498">
        <v>14.08</v>
      </c>
      <c r="E646" s="499">
        <v>0</v>
      </c>
      <c r="F646" s="499">
        <f t="shared" si="204"/>
        <v>4716.8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42548</v>
      </c>
      <c r="C647" s="497">
        <v>965</v>
      </c>
      <c r="D647" s="498">
        <v>13.81</v>
      </c>
      <c r="E647" s="499">
        <v>0</v>
      </c>
      <c r="F647" s="499">
        <f t="shared" si="204"/>
        <v>13326.65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42548</v>
      </c>
      <c r="C648" s="497">
        <v>300</v>
      </c>
      <c r="D648" s="498">
        <v>13.58</v>
      </c>
      <c r="E648" s="499">
        <v>0</v>
      </c>
      <c r="F648" s="499">
        <f t="shared" si="204"/>
        <v>4074</v>
      </c>
      <c r="G648" s="496">
        <v>42549</v>
      </c>
      <c r="H648" s="513">
        <v>1100</v>
      </c>
      <c r="I648" s="498">
        <v>14.68</v>
      </c>
      <c r="J648" s="499">
        <v>0.35</v>
      </c>
      <c r="K648" s="499">
        <f t="shared" ref="K648:K733" si="205">H648*I648-J648</f>
        <v>16147.65</v>
      </c>
      <c r="L648" s="497"/>
      <c r="M648" s="499"/>
    </row>
    <row r="649" spans="1:13" ht="45" x14ac:dyDescent="0.25">
      <c r="A649" s="497"/>
      <c r="B649" s="545">
        <v>42556</v>
      </c>
      <c r="C649" s="497">
        <v>2178</v>
      </c>
      <c r="D649" s="498">
        <v>15.08</v>
      </c>
      <c r="E649" s="499">
        <v>0</v>
      </c>
      <c r="F649" s="499">
        <f t="shared" si="204"/>
        <v>32844.239999999998</v>
      </c>
      <c r="G649" s="611" t="s">
        <v>227</v>
      </c>
      <c r="H649" s="513">
        <v>500</v>
      </c>
      <c r="I649" s="498">
        <v>15.48</v>
      </c>
      <c r="J649" s="499">
        <v>0.17</v>
      </c>
      <c r="K649" s="499">
        <f t="shared" si="205"/>
        <v>7739.83</v>
      </c>
      <c r="L649" s="497"/>
      <c r="M649" s="499"/>
    </row>
    <row r="650" spans="1:13" x14ac:dyDescent="0.25">
      <c r="A650" s="497"/>
      <c r="B650" s="545">
        <v>42556</v>
      </c>
      <c r="C650" s="497">
        <v>500</v>
      </c>
      <c r="D650" s="498">
        <v>14.62</v>
      </c>
      <c r="E650" s="499">
        <v>0</v>
      </c>
      <c r="F650" s="499">
        <f t="shared" si="204"/>
        <v>7310</v>
      </c>
      <c r="G650" s="611"/>
      <c r="H650" s="513">
        <v>378</v>
      </c>
      <c r="I650" s="498">
        <v>15.65</v>
      </c>
      <c r="J650" s="499">
        <v>0.13</v>
      </c>
      <c r="K650" s="499">
        <f t="shared" si="205"/>
        <v>5915.57</v>
      </c>
      <c r="L650" s="497"/>
      <c r="M650" s="499"/>
    </row>
    <row r="651" spans="1:13" x14ac:dyDescent="0.25">
      <c r="A651" s="497"/>
      <c r="B651" s="545">
        <v>42557</v>
      </c>
      <c r="C651" s="497">
        <v>500</v>
      </c>
      <c r="D651" s="498">
        <v>14.78</v>
      </c>
      <c r="E651" s="499">
        <v>0</v>
      </c>
      <c r="F651" s="499">
        <f t="shared" si="204"/>
        <v>7390</v>
      </c>
      <c r="G651" s="611"/>
      <c r="H651" s="513">
        <v>500</v>
      </c>
      <c r="I651" s="498">
        <v>15.51</v>
      </c>
      <c r="J651" s="499">
        <v>0.17</v>
      </c>
      <c r="K651" s="499">
        <f t="shared" si="205"/>
        <v>7754.83</v>
      </c>
      <c r="L651" s="497"/>
      <c r="M651" s="499"/>
    </row>
    <row r="652" spans="1:13" x14ac:dyDescent="0.25">
      <c r="A652" s="497"/>
      <c r="B652" s="597">
        <v>42564</v>
      </c>
      <c r="C652" s="497">
        <v>320</v>
      </c>
      <c r="D652" s="498">
        <v>15.48</v>
      </c>
      <c r="E652" s="499">
        <v>0</v>
      </c>
      <c r="F652" s="499">
        <f t="shared" si="204"/>
        <v>4953.6000000000004</v>
      </c>
      <c r="G652" s="611"/>
      <c r="H652" s="513">
        <v>800</v>
      </c>
      <c r="I652" s="498">
        <v>15.78</v>
      </c>
      <c r="J652" s="499">
        <v>0.28000000000000003</v>
      </c>
      <c r="K652" s="499">
        <f t="shared" si="205"/>
        <v>12623.72</v>
      </c>
      <c r="L652" s="497"/>
      <c r="M652" s="499"/>
    </row>
    <row r="653" spans="1:13" x14ac:dyDescent="0.25">
      <c r="A653" s="598"/>
      <c r="B653" s="597">
        <v>42564</v>
      </c>
      <c r="C653" s="497">
        <v>160</v>
      </c>
      <c r="D653" s="498">
        <v>15.48</v>
      </c>
      <c r="E653" s="499">
        <v>0</v>
      </c>
      <c r="F653" s="499">
        <f t="shared" si="204"/>
        <v>2476.8000000000002</v>
      </c>
      <c r="G653" s="496">
        <v>42557</v>
      </c>
      <c r="H653" s="513">
        <v>500</v>
      </c>
      <c r="I653" s="498">
        <v>14.92</v>
      </c>
      <c r="J653" s="499">
        <v>0.16</v>
      </c>
      <c r="K653" s="499">
        <f t="shared" si="205"/>
        <v>7459.84</v>
      </c>
      <c r="L653" s="497"/>
      <c r="M653" s="499"/>
    </row>
    <row r="654" spans="1:13" x14ac:dyDescent="0.25">
      <c r="A654" s="598"/>
      <c r="B654" s="545">
        <v>42570</v>
      </c>
      <c r="C654" s="497">
        <v>200</v>
      </c>
      <c r="D654" s="498">
        <v>15.18</v>
      </c>
      <c r="E654" s="499">
        <v>0</v>
      </c>
      <c r="F654" s="499">
        <f t="shared" si="204"/>
        <v>3036</v>
      </c>
      <c r="G654" s="496">
        <v>42564</v>
      </c>
      <c r="H654" s="513">
        <v>420</v>
      </c>
      <c r="I654" s="498">
        <v>15.68</v>
      </c>
      <c r="J654" s="499">
        <v>0.14000000000000001</v>
      </c>
      <c r="K654" s="499">
        <f t="shared" si="205"/>
        <v>6585.4599999999991</v>
      </c>
      <c r="L654" s="497"/>
      <c r="M654" s="499"/>
    </row>
    <row r="655" spans="1:13" x14ac:dyDescent="0.25">
      <c r="A655" s="598"/>
      <c r="B655" s="545">
        <v>42570</v>
      </c>
      <c r="C655" s="497">
        <v>200</v>
      </c>
      <c r="D655" s="498">
        <v>14.68</v>
      </c>
      <c r="E655" s="499">
        <v>0</v>
      </c>
      <c r="F655" s="499">
        <f t="shared" si="204"/>
        <v>2936</v>
      </c>
      <c r="G655" s="496">
        <v>42571</v>
      </c>
      <c r="H655" s="513">
        <v>200</v>
      </c>
      <c r="I655" s="498">
        <v>14.82</v>
      </c>
      <c r="J655" s="499">
        <v>0.06</v>
      </c>
      <c r="K655" s="499">
        <f t="shared" si="205"/>
        <v>2963.94</v>
      </c>
      <c r="L655" s="497"/>
      <c r="M655" s="499"/>
    </row>
    <row r="656" spans="1:13" x14ac:dyDescent="0.25">
      <c r="A656" s="497"/>
      <c r="B656" s="545">
        <v>42571</v>
      </c>
      <c r="C656" s="497">
        <v>200</v>
      </c>
      <c r="D656" s="498">
        <v>14.33</v>
      </c>
      <c r="E656" s="499">
        <v>-1</v>
      </c>
      <c r="F656" s="499">
        <f t="shared" si="204"/>
        <v>2865</v>
      </c>
      <c r="G656" s="496">
        <v>42572</v>
      </c>
      <c r="H656" s="513">
        <v>200</v>
      </c>
      <c r="I656" s="498">
        <v>14.8</v>
      </c>
      <c r="J656" s="499">
        <v>0.06</v>
      </c>
      <c r="K656" s="499">
        <f t="shared" si="205"/>
        <v>2959.94</v>
      </c>
      <c r="L656" s="497"/>
      <c r="M656" s="499"/>
    </row>
    <row r="657" spans="1:13" x14ac:dyDescent="0.25">
      <c r="A657" s="497"/>
      <c r="B657" s="545">
        <v>42572</v>
      </c>
      <c r="C657" s="497">
        <v>60</v>
      </c>
      <c r="D657" s="498">
        <v>14.58</v>
      </c>
      <c r="E657" s="499">
        <v>0</v>
      </c>
      <c r="F657" s="499">
        <f t="shared" si="204"/>
        <v>874.8</v>
      </c>
      <c r="G657" s="496">
        <v>42577</v>
      </c>
      <c r="H657" s="513">
        <v>200</v>
      </c>
      <c r="I657" s="498">
        <v>13.78</v>
      </c>
      <c r="J657" s="499">
        <v>0.06</v>
      </c>
      <c r="K657" s="499">
        <f t="shared" si="205"/>
        <v>2755.94</v>
      </c>
      <c r="L657" s="497"/>
      <c r="M657" s="499"/>
    </row>
    <row r="658" spans="1:13" x14ac:dyDescent="0.25">
      <c r="A658" s="497"/>
      <c r="B658" s="545">
        <v>42572</v>
      </c>
      <c r="C658" s="497">
        <v>140</v>
      </c>
      <c r="D658" s="498">
        <v>14.65</v>
      </c>
      <c r="E658" s="499">
        <v>0</v>
      </c>
      <c r="F658" s="499">
        <f t="shared" si="204"/>
        <v>2051</v>
      </c>
      <c r="G658" s="496">
        <v>42580</v>
      </c>
      <c r="H658" s="513">
        <v>200</v>
      </c>
      <c r="I658" s="498">
        <v>13.224</v>
      </c>
      <c r="J658" s="499">
        <v>0.08</v>
      </c>
      <c r="K658" s="499">
        <f t="shared" si="205"/>
        <v>2644.7200000000003</v>
      </c>
      <c r="L658" s="497"/>
      <c r="M658" s="499"/>
    </row>
    <row r="659" spans="1:13" x14ac:dyDescent="0.25">
      <c r="A659" s="497"/>
      <c r="B659" s="545">
        <v>42573</v>
      </c>
      <c r="C659" s="497">
        <v>140</v>
      </c>
      <c r="D659" s="498">
        <v>14.08</v>
      </c>
      <c r="E659" s="499">
        <v>0</v>
      </c>
      <c r="F659" s="499">
        <f t="shared" si="204"/>
        <v>1971.2</v>
      </c>
      <c r="G659" s="496">
        <v>42580</v>
      </c>
      <c r="H659" s="513">
        <v>200</v>
      </c>
      <c r="I659" s="498">
        <v>13.58</v>
      </c>
      <c r="J659" s="499">
        <v>0.06</v>
      </c>
      <c r="K659" s="499">
        <f t="shared" si="205"/>
        <v>2715.94</v>
      </c>
      <c r="L659" s="497"/>
      <c r="M659" s="499"/>
    </row>
    <row r="660" spans="1:13" x14ac:dyDescent="0.25">
      <c r="A660" s="497"/>
      <c r="B660" s="545">
        <v>42576</v>
      </c>
      <c r="C660" s="497">
        <v>200</v>
      </c>
      <c r="D660" s="498">
        <v>13.55</v>
      </c>
      <c r="E660" s="499">
        <v>0</v>
      </c>
      <c r="F660" s="499">
        <f t="shared" si="204"/>
        <v>2710</v>
      </c>
      <c r="G660" s="496">
        <v>42586</v>
      </c>
      <c r="H660" s="513">
        <v>400</v>
      </c>
      <c r="I660" s="498">
        <v>13.78</v>
      </c>
      <c r="J660" s="499">
        <v>0.12</v>
      </c>
      <c r="K660" s="499">
        <f t="shared" si="205"/>
        <v>5511.88</v>
      </c>
      <c r="L660" s="497"/>
      <c r="M660" s="499"/>
    </row>
    <row r="661" spans="1:13" x14ac:dyDescent="0.25">
      <c r="A661" s="497"/>
      <c r="B661" s="545">
        <v>42578</v>
      </c>
      <c r="C661" s="497">
        <v>200</v>
      </c>
      <c r="D661" s="498">
        <v>13.18</v>
      </c>
      <c r="E661" s="499">
        <v>0</v>
      </c>
      <c r="F661" s="499">
        <f t="shared" si="204"/>
        <v>2636</v>
      </c>
      <c r="G661" s="496">
        <v>42586</v>
      </c>
      <c r="H661" s="513">
        <v>400</v>
      </c>
      <c r="I661" s="498">
        <v>13.72</v>
      </c>
      <c r="J661" s="499">
        <v>0.12</v>
      </c>
      <c r="K661" s="499">
        <f t="shared" si="205"/>
        <v>5487.88</v>
      </c>
      <c r="L661" s="497"/>
      <c r="M661" s="499"/>
    </row>
    <row r="662" spans="1:13" x14ac:dyDescent="0.25">
      <c r="A662" s="497"/>
      <c r="B662" s="545">
        <v>42580</v>
      </c>
      <c r="C662" s="497">
        <v>200</v>
      </c>
      <c r="D662" s="498">
        <v>13.15</v>
      </c>
      <c r="E662" s="499">
        <v>0</v>
      </c>
      <c r="F662" s="499">
        <f t="shared" si="204"/>
        <v>2630</v>
      </c>
      <c r="G662" s="496">
        <v>42586</v>
      </c>
      <c r="H662" s="513">
        <v>140</v>
      </c>
      <c r="I662" s="498">
        <v>13.88</v>
      </c>
      <c r="J662" s="499">
        <v>0.04</v>
      </c>
      <c r="K662" s="499">
        <f t="shared" si="205"/>
        <v>1943.16</v>
      </c>
      <c r="L662" s="497"/>
      <c r="M662" s="499"/>
    </row>
    <row r="663" spans="1:13" x14ac:dyDescent="0.25">
      <c r="A663" s="497"/>
      <c r="B663" s="545">
        <v>42583</v>
      </c>
      <c r="C663" s="594">
        <v>20</v>
      </c>
      <c r="D663" s="498">
        <v>13.02</v>
      </c>
      <c r="E663" s="499">
        <v>0</v>
      </c>
      <c r="F663" s="499">
        <f t="shared" si="204"/>
        <v>260.39999999999998</v>
      </c>
      <c r="G663" s="496">
        <v>42593</v>
      </c>
      <c r="H663" s="513">
        <v>460</v>
      </c>
      <c r="I663" s="498">
        <v>14.59</v>
      </c>
      <c r="J663" s="499">
        <v>0.15</v>
      </c>
      <c r="K663" s="499">
        <f t="shared" si="205"/>
        <v>6711.25</v>
      </c>
      <c r="L663" s="497"/>
      <c r="M663" s="499"/>
    </row>
    <row r="664" spans="1:13" x14ac:dyDescent="0.25">
      <c r="A664" s="497"/>
      <c r="B664" s="545">
        <v>42583</v>
      </c>
      <c r="C664" s="497">
        <v>180</v>
      </c>
      <c r="D664" s="498">
        <v>13.02</v>
      </c>
      <c r="E664" s="499">
        <v>0</v>
      </c>
      <c r="F664" s="499">
        <f t="shared" si="204"/>
        <v>2343.6</v>
      </c>
      <c r="G664" s="496">
        <v>42594</v>
      </c>
      <c r="H664" s="513">
        <v>500</v>
      </c>
      <c r="I664" s="498">
        <v>14.88</v>
      </c>
      <c r="J664" s="499">
        <v>0.16</v>
      </c>
      <c r="K664" s="499">
        <f t="shared" si="205"/>
        <v>7439.84</v>
      </c>
      <c r="L664" s="497"/>
      <c r="M664" s="499"/>
    </row>
    <row r="665" spans="1:13" x14ac:dyDescent="0.25">
      <c r="A665" s="497"/>
      <c r="B665" s="545">
        <v>42584</v>
      </c>
      <c r="C665" s="497">
        <v>120</v>
      </c>
      <c r="D665" s="498">
        <v>12.68</v>
      </c>
      <c r="E665" s="499">
        <v>0</v>
      </c>
      <c r="F665" s="499">
        <f t="shared" si="204"/>
        <v>1521.6</v>
      </c>
      <c r="G665" s="496">
        <v>42598</v>
      </c>
      <c r="H665" s="513">
        <v>500</v>
      </c>
      <c r="I665" s="498">
        <v>15.18</v>
      </c>
      <c r="J665" s="499">
        <v>0.17</v>
      </c>
      <c r="K665" s="499">
        <f t="shared" si="205"/>
        <v>7589.83</v>
      </c>
      <c r="L665" s="497"/>
      <c r="M665" s="499"/>
    </row>
    <row r="666" spans="1:13" x14ac:dyDescent="0.25">
      <c r="A666" s="497"/>
      <c r="B666" s="545">
        <v>42584</v>
      </c>
      <c r="C666" s="497">
        <v>80</v>
      </c>
      <c r="D666" s="498">
        <v>12.68</v>
      </c>
      <c r="E666" s="499">
        <v>0</v>
      </c>
      <c r="F666" s="499">
        <f t="shared" si="204"/>
        <v>1014.4</v>
      </c>
      <c r="G666" s="496">
        <v>42599</v>
      </c>
      <c r="H666" s="513">
        <v>500</v>
      </c>
      <c r="I666" s="498">
        <v>15.18</v>
      </c>
      <c r="J666" s="499">
        <v>0.17</v>
      </c>
      <c r="K666" s="499">
        <f t="shared" si="205"/>
        <v>7589.83</v>
      </c>
      <c r="L666" s="497"/>
      <c r="M666" s="499"/>
    </row>
    <row r="667" spans="1:13" x14ac:dyDescent="0.25">
      <c r="A667" s="497"/>
      <c r="B667" s="545">
        <v>42585</v>
      </c>
      <c r="C667" s="497">
        <v>242</v>
      </c>
      <c r="D667" s="498">
        <v>13.38</v>
      </c>
      <c r="E667" s="499">
        <v>0</v>
      </c>
      <c r="F667" s="499">
        <f t="shared" si="204"/>
        <v>3237.96</v>
      </c>
      <c r="G667" s="496">
        <v>42599</v>
      </c>
      <c r="H667" s="513">
        <v>500</v>
      </c>
      <c r="I667" s="498">
        <v>15.41</v>
      </c>
      <c r="J667" s="499">
        <v>0.17</v>
      </c>
      <c r="K667" s="499">
        <f t="shared" si="205"/>
        <v>7704.83</v>
      </c>
      <c r="L667" s="497"/>
      <c r="M667" s="499"/>
    </row>
    <row r="668" spans="1:13" x14ac:dyDescent="0.25">
      <c r="A668" s="497"/>
      <c r="B668" s="545">
        <v>42585</v>
      </c>
      <c r="C668" s="497">
        <v>158</v>
      </c>
      <c r="D668" s="498">
        <v>13.38</v>
      </c>
      <c r="E668" s="499">
        <v>0</v>
      </c>
      <c r="F668" s="499">
        <f t="shared" si="204"/>
        <v>2114.04</v>
      </c>
      <c r="G668" s="496">
        <v>42599</v>
      </c>
      <c r="H668" s="513">
        <v>500</v>
      </c>
      <c r="I668" s="498">
        <v>15.65</v>
      </c>
      <c r="J668" s="499">
        <v>0.17</v>
      </c>
      <c r="K668" s="499">
        <f t="shared" si="205"/>
        <v>7824.83</v>
      </c>
      <c r="L668" s="497"/>
      <c r="M668" s="499"/>
    </row>
    <row r="669" spans="1:13" ht="45" x14ac:dyDescent="0.25">
      <c r="A669" s="497"/>
      <c r="B669" s="545">
        <v>42594</v>
      </c>
      <c r="C669" s="497">
        <v>500</v>
      </c>
      <c r="D669" s="498">
        <v>14.65</v>
      </c>
      <c r="E669" s="499">
        <v>0</v>
      </c>
      <c r="F669" s="499">
        <f t="shared" si="204"/>
        <v>7325</v>
      </c>
      <c r="G669" s="616" t="s">
        <v>255</v>
      </c>
      <c r="H669" s="513">
        <v>500</v>
      </c>
      <c r="I669" s="498">
        <v>16.18</v>
      </c>
      <c r="J669" s="499">
        <v>0.18</v>
      </c>
      <c r="K669" s="499">
        <f t="shared" si="205"/>
        <v>8089.82</v>
      </c>
      <c r="L669" s="497"/>
      <c r="M669" s="499"/>
    </row>
    <row r="670" spans="1:13" x14ac:dyDescent="0.25">
      <c r="A670" s="497"/>
      <c r="B670" s="545">
        <v>42599</v>
      </c>
      <c r="C670" s="497">
        <v>242</v>
      </c>
      <c r="D670" s="498">
        <v>14.95</v>
      </c>
      <c r="E670" s="499">
        <v>0</v>
      </c>
      <c r="F670" s="499">
        <f t="shared" si="204"/>
        <v>3617.8999999999996</v>
      </c>
      <c r="G670" s="616"/>
      <c r="H670" s="513">
        <v>500</v>
      </c>
      <c r="I670" s="498">
        <v>16.38</v>
      </c>
      <c r="J670" s="499">
        <v>0.18</v>
      </c>
      <c r="K670" s="499">
        <f t="shared" si="205"/>
        <v>8189.8199999999988</v>
      </c>
      <c r="L670" s="497"/>
      <c r="M670" s="499"/>
    </row>
    <row r="671" spans="1:13" x14ac:dyDescent="0.25">
      <c r="A671" s="497"/>
      <c r="B671" s="545">
        <v>42599</v>
      </c>
      <c r="C671" s="497">
        <v>200</v>
      </c>
      <c r="D671" s="498">
        <v>14.95</v>
      </c>
      <c r="E671" s="499">
        <v>0</v>
      </c>
      <c r="F671" s="499">
        <f t="shared" si="204"/>
        <v>2990</v>
      </c>
      <c r="G671" s="616"/>
      <c r="H671" s="513">
        <v>178</v>
      </c>
      <c r="I671" s="498">
        <v>16.5</v>
      </c>
      <c r="J671" s="499">
        <v>0.06</v>
      </c>
      <c r="K671" s="499">
        <f t="shared" si="205"/>
        <v>2936.94</v>
      </c>
      <c r="L671" s="497"/>
      <c r="M671" s="499"/>
    </row>
    <row r="672" spans="1:13" x14ac:dyDescent="0.25">
      <c r="A672" s="497"/>
      <c r="B672" s="545">
        <v>42599</v>
      </c>
      <c r="C672" s="497">
        <v>36</v>
      </c>
      <c r="D672" s="498">
        <v>14.95</v>
      </c>
      <c r="E672" s="499">
        <v>0</v>
      </c>
      <c r="F672" s="499">
        <f t="shared" si="204"/>
        <v>538.19999999999993</v>
      </c>
      <c r="G672" s="616"/>
      <c r="H672" s="513">
        <v>500</v>
      </c>
      <c r="I672" s="498">
        <v>16.72</v>
      </c>
      <c r="J672" s="499">
        <v>0.18</v>
      </c>
      <c r="K672" s="499">
        <f t="shared" si="205"/>
        <v>8359.82</v>
      </c>
      <c r="L672" s="497"/>
      <c r="M672" s="499"/>
    </row>
    <row r="673" spans="1:13" x14ac:dyDescent="0.25">
      <c r="A673" s="497"/>
      <c r="B673" s="545">
        <v>42599</v>
      </c>
      <c r="C673" s="497">
        <v>22</v>
      </c>
      <c r="D673" s="498">
        <v>14.95</v>
      </c>
      <c r="E673" s="499">
        <v>0</v>
      </c>
      <c r="F673" s="499">
        <f t="shared" si="204"/>
        <v>328.9</v>
      </c>
      <c r="G673" s="496">
        <v>42601</v>
      </c>
      <c r="H673" s="513">
        <v>500</v>
      </c>
      <c r="I673" s="498">
        <v>16.82</v>
      </c>
      <c r="J673" s="499">
        <v>0.18</v>
      </c>
      <c r="K673" s="499">
        <f t="shared" si="205"/>
        <v>8409.82</v>
      </c>
      <c r="L673" s="497"/>
      <c r="M673" s="499"/>
    </row>
    <row r="674" spans="1:13" x14ac:dyDescent="0.25">
      <c r="A674" s="497"/>
      <c r="B674" s="545">
        <v>42604</v>
      </c>
      <c r="C674" s="497">
        <v>1000</v>
      </c>
      <c r="D674" s="498">
        <v>15.68</v>
      </c>
      <c r="E674" s="499">
        <v>0</v>
      </c>
      <c r="F674" s="499">
        <f t="shared" si="204"/>
        <v>15680</v>
      </c>
      <c r="G674" s="496">
        <v>42605</v>
      </c>
      <c r="H674" s="513">
        <v>500</v>
      </c>
      <c r="I674" s="498">
        <v>15.98</v>
      </c>
      <c r="J674" s="499">
        <v>0.17</v>
      </c>
      <c r="K674" s="499">
        <f t="shared" si="205"/>
        <v>7989.83</v>
      </c>
      <c r="L674" s="497"/>
      <c r="M674" s="499"/>
    </row>
    <row r="675" spans="1:13" x14ac:dyDescent="0.25">
      <c r="A675" s="497"/>
      <c r="B675" s="545">
        <v>42604</v>
      </c>
      <c r="C675" s="497">
        <v>500</v>
      </c>
      <c r="D675" s="498">
        <v>15.48</v>
      </c>
      <c r="E675" s="499">
        <v>0</v>
      </c>
      <c r="F675" s="499">
        <f t="shared" si="204"/>
        <v>7740</v>
      </c>
      <c r="G675" s="496">
        <v>42605</v>
      </c>
      <c r="H675" s="513">
        <v>500</v>
      </c>
      <c r="I675" s="498">
        <v>16.25</v>
      </c>
      <c r="J675" s="499">
        <v>0.18</v>
      </c>
      <c r="K675" s="499">
        <f t="shared" si="205"/>
        <v>8124.82</v>
      </c>
      <c r="L675" s="497"/>
      <c r="M675" s="499"/>
    </row>
    <row r="676" spans="1:13" x14ac:dyDescent="0.25">
      <c r="A676" s="497"/>
      <c r="B676" s="545">
        <v>42606</v>
      </c>
      <c r="C676" s="497">
        <v>178</v>
      </c>
      <c r="D676" s="498">
        <v>16.059999999999999</v>
      </c>
      <c r="E676" s="499">
        <v>0</v>
      </c>
      <c r="F676" s="499">
        <f t="shared" si="204"/>
        <v>2858.68</v>
      </c>
      <c r="G676" s="496">
        <v>42605</v>
      </c>
      <c r="H676" s="513">
        <v>500</v>
      </c>
      <c r="I676" s="498">
        <v>16.48</v>
      </c>
      <c r="J676" s="499">
        <v>0.18</v>
      </c>
      <c r="K676" s="499">
        <f t="shared" si="205"/>
        <v>8239.82</v>
      </c>
      <c r="L676" s="497"/>
      <c r="M676" s="499"/>
    </row>
    <row r="677" spans="1:13" x14ac:dyDescent="0.25">
      <c r="A677" s="497"/>
      <c r="B677" s="545">
        <v>42608</v>
      </c>
      <c r="C677" s="497">
        <v>500</v>
      </c>
      <c r="D677" s="498">
        <v>15.98</v>
      </c>
      <c r="E677" s="499">
        <v>0</v>
      </c>
      <c r="F677" s="499">
        <f t="shared" si="204"/>
        <v>7990</v>
      </c>
      <c r="G677" s="496">
        <v>42615</v>
      </c>
      <c r="H677" s="513">
        <v>500</v>
      </c>
      <c r="I677" s="498">
        <v>15.65</v>
      </c>
      <c r="J677" s="499">
        <v>0.17</v>
      </c>
      <c r="K677" s="499">
        <f t="shared" si="205"/>
        <v>7824.83</v>
      </c>
      <c r="L677" s="497"/>
      <c r="M677" s="499"/>
    </row>
    <row r="678" spans="1:13" ht="30" x14ac:dyDescent="0.25">
      <c r="A678" s="497"/>
      <c r="B678" s="545">
        <v>42608</v>
      </c>
      <c r="C678" s="497">
        <v>500</v>
      </c>
      <c r="D678" s="498">
        <v>15.85</v>
      </c>
      <c r="E678" s="499">
        <v>0</v>
      </c>
      <c r="F678" s="499">
        <f t="shared" si="204"/>
        <v>7925</v>
      </c>
      <c r="G678" s="496">
        <v>42621</v>
      </c>
      <c r="H678" s="513">
        <v>500</v>
      </c>
      <c r="I678" s="498">
        <v>16.72</v>
      </c>
      <c r="J678" s="499">
        <v>0.18</v>
      </c>
      <c r="K678" s="499">
        <f t="shared" si="205"/>
        <v>8359.82</v>
      </c>
      <c r="L678" s="617" t="s">
        <v>268</v>
      </c>
      <c r="M678" s="499"/>
    </row>
    <row r="679" spans="1:13" x14ac:dyDescent="0.25">
      <c r="A679" s="497"/>
      <c r="B679" s="545">
        <v>42612</v>
      </c>
      <c r="C679" s="497">
        <v>500</v>
      </c>
      <c r="D679" s="498">
        <v>15.68</v>
      </c>
      <c r="E679" s="499">
        <v>0</v>
      </c>
      <c r="F679" s="499">
        <f t="shared" si="204"/>
        <v>7840</v>
      </c>
      <c r="G679" s="496">
        <v>42621</v>
      </c>
      <c r="H679" s="513">
        <v>500</v>
      </c>
      <c r="I679" s="498">
        <v>16.28</v>
      </c>
      <c r="J679" s="499">
        <v>0.18</v>
      </c>
      <c r="K679" s="499">
        <f t="shared" si="205"/>
        <v>8139.8200000000006</v>
      </c>
      <c r="L679" s="617"/>
      <c r="M679" s="499"/>
    </row>
    <row r="680" spans="1:13" x14ac:dyDescent="0.25">
      <c r="A680" s="497"/>
      <c r="B680" s="545">
        <v>42612</v>
      </c>
      <c r="C680" s="497">
        <v>500</v>
      </c>
      <c r="D680" s="498">
        <v>15.55</v>
      </c>
      <c r="E680" s="499">
        <v>0</v>
      </c>
      <c r="F680" s="499">
        <f t="shared" si="204"/>
        <v>7775</v>
      </c>
      <c r="G680" s="496">
        <v>42621</v>
      </c>
      <c r="H680" s="513">
        <v>220</v>
      </c>
      <c r="I680" s="498">
        <v>16.77</v>
      </c>
      <c r="J680" s="499">
        <v>0.08</v>
      </c>
      <c r="K680" s="499">
        <f t="shared" si="205"/>
        <v>3689.32</v>
      </c>
      <c r="L680" s="617"/>
      <c r="M680" s="499"/>
    </row>
    <row r="681" spans="1:13" x14ac:dyDescent="0.25">
      <c r="A681" s="497"/>
      <c r="B681" s="545">
        <v>42613</v>
      </c>
      <c r="C681" s="497">
        <v>500</v>
      </c>
      <c r="D681" s="498">
        <v>15.244999999999999</v>
      </c>
      <c r="E681" s="499">
        <v>0</v>
      </c>
      <c r="F681" s="499">
        <f t="shared" si="204"/>
        <v>7622.5</v>
      </c>
      <c r="G681" s="496">
        <v>42625</v>
      </c>
      <c r="H681" s="513">
        <v>500</v>
      </c>
      <c r="I681" s="498">
        <v>15.5</v>
      </c>
      <c r="J681" s="499">
        <v>0.17</v>
      </c>
      <c r="K681" s="499">
        <f t="shared" si="205"/>
        <v>7749.83</v>
      </c>
      <c r="L681" s="497"/>
      <c r="M681" s="499"/>
    </row>
    <row r="682" spans="1:13" x14ac:dyDescent="0.25">
      <c r="A682" s="497"/>
      <c r="B682" s="545">
        <v>42613</v>
      </c>
      <c r="C682" s="497">
        <v>500</v>
      </c>
      <c r="D682" s="498">
        <v>15.08</v>
      </c>
      <c r="E682" s="499">
        <v>0</v>
      </c>
      <c r="F682" s="499">
        <f t="shared" si="204"/>
        <v>7540</v>
      </c>
      <c r="G682" s="496">
        <v>42628</v>
      </c>
      <c r="H682" s="513">
        <v>300</v>
      </c>
      <c r="I682" s="498">
        <v>14.46</v>
      </c>
      <c r="J682" s="499">
        <v>0.09</v>
      </c>
      <c r="K682" s="499">
        <f t="shared" si="205"/>
        <v>4337.91</v>
      </c>
      <c r="L682" s="497"/>
      <c r="M682" s="499"/>
    </row>
    <row r="683" spans="1:13" x14ac:dyDescent="0.25">
      <c r="A683" s="497"/>
      <c r="B683" s="545">
        <v>42622</v>
      </c>
      <c r="C683" s="497">
        <v>220</v>
      </c>
      <c r="D683" s="498">
        <v>16.25</v>
      </c>
      <c r="E683" s="499">
        <v>0</v>
      </c>
      <c r="F683" s="499">
        <f t="shared" si="204"/>
        <v>3575</v>
      </c>
      <c r="G683" s="496">
        <v>42634</v>
      </c>
      <c r="H683" s="513">
        <v>322</v>
      </c>
      <c r="I683" s="498">
        <v>14.28</v>
      </c>
      <c r="J683" s="499">
        <v>0.1</v>
      </c>
      <c r="K683" s="499">
        <f t="shared" si="205"/>
        <v>4598.0599999999995</v>
      </c>
      <c r="L683" s="497"/>
      <c r="M683" s="499"/>
    </row>
    <row r="684" spans="1:13" x14ac:dyDescent="0.25">
      <c r="A684" s="497"/>
      <c r="B684" s="545">
        <v>42622</v>
      </c>
      <c r="C684" s="497">
        <v>500</v>
      </c>
      <c r="D684" s="498">
        <v>15.98</v>
      </c>
      <c r="E684" s="499">
        <v>0</v>
      </c>
      <c r="F684" s="499">
        <f t="shared" si="204"/>
        <v>7990</v>
      </c>
      <c r="G684" s="496">
        <v>42634</v>
      </c>
      <c r="H684" s="513">
        <v>400</v>
      </c>
      <c r="I684" s="498">
        <v>14.64</v>
      </c>
      <c r="J684" s="499">
        <v>0.13</v>
      </c>
      <c r="K684" s="499">
        <f t="shared" si="205"/>
        <v>5855.87</v>
      </c>
      <c r="L684" s="497"/>
      <c r="M684" s="499"/>
    </row>
    <row r="685" spans="1:13" x14ac:dyDescent="0.25">
      <c r="A685" s="497"/>
      <c r="B685" s="545">
        <v>42622</v>
      </c>
      <c r="C685" s="497">
        <v>500</v>
      </c>
      <c r="D685" s="498">
        <v>15.75</v>
      </c>
      <c r="E685" s="499">
        <v>0</v>
      </c>
      <c r="F685" s="499">
        <f t="shared" si="204"/>
        <v>7875</v>
      </c>
      <c r="G685" s="496">
        <v>42639</v>
      </c>
      <c r="H685" s="513">
        <v>200</v>
      </c>
      <c r="I685" s="498">
        <v>14.72</v>
      </c>
      <c r="J685" s="499">
        <v>0.06</v>
      </c>
      <c r="K685" s="499">
        <f t="shared" si="205"/>
        <v>2943.94</v>
      </c>
      <c r="L685" s="497"/>
      <c r="M685" s="499"/>
    </row>
    <row r="686" spans="1:13" x14ac:dyDescent="0.25">
      <c r="A686" s="497"/>
      <c r="B686" s="545">
        <v>42625</v>
      </c>
      <c r="C686" s="497">
        <v>500</v>
      </c>
      <c r="D686" s="498">
        <v>15.22</v>
      </c>
      <c r="E686" s="499">
        <v>0</v>
      </c>
      <c r="F686" s="499">
        <f t="shared" si="204"/>
        <v>7610</v>
      </c>
      <c r="G686" s="496">
        <v>42641</v>
      </c>
      <c r="H686" s="513">
        <v>300</v>
      </c>
      <c r="I686" s="498">
        <v>15.28</v>
      </c>
      <c r="J686" s="499">
        <v>0.1</v>
      </c>
      <c r="K686" s="499">
        <f t="shared" si="205"/>
        <v>4583.8999999999996</v>
      </c>
      <c r="L686" s="497"/>
      <c r="M686" s="499"/>
    </row>
    <row r="687" spans="1:13" ht="30" x14ac:dyDescent="0.25">
      <c r="A687" s="599" t="s">
        <v>277</v>
      </c>
      <c r="B687" s="545">
        <v>42626</v>
      </c>
      <c r="C687" s="497">
        <v>600</v>
      </c>
      <c r="D687" s="498">
        <v>14.91</v>
      </c>
      <c r="E687" s="499">
        <v>-3</v>
      </c>
      <c r="F687" s="499">
        <f t="shared" si="204"/>
        <v>8943</v>
      </c>
      <c r="G687" s="496">
        <v>42641</v>
      </c>
      <c r="H687" s="513">
        <v>400</v>
      </c>
      <c r="I687" s="498">
        <v>15.06</v>
      </c>
      <c r="J687" s="499">
        <v>0.13</v>
      </c>
      <c r="K687" s="499">
        <f t="shared" si="205"/>
        <v>6023.87</v>
      </c>
      <c r="L687" s="497"/>
      <c r="M687" s="499"/>
    </row>
    <row r="688" spans="1:13" x14ac:dyDescent="0.25">
      <c r="A688" s="599"/>
      <c r="B688" s="545">
        <v>42626</v>
      </c>
      <c r="C688" s="497">
        <v>400</v>
      </c>
      <c r="D688" s="498">
        <v>14.75</v>
      </c>
      <c r="E688" s="499">
        <v>0</v>
      </c>
      <c r="F688" s="499">
        <f t="shared" si="204"/>
        <v>5900</v>
      </c>
      <c r="G688" s="496">
        <v>42641</v>
      </c>
      <c r="H688" s="513">
        <v>322</v>
      </c>
      <c r="I688" s="498">
        <v>14.39</v>
      </c>
      <c r="J688" s="499">
        <v>0.1</v>
      </c>
      <c r="K688" s="499">
        <f t="shared" si="205"/>
        <v>4633.4799999999996</v>
      </c>
      <c r="L688" s="497"/>
      <c r="M688" s="499"/>
    </row>
    <row r="689" spans="1:13" x14ac:dyDescent="0.25">
      <c r="A689" s="599"/>
      <c r="B689" s="545">
        <v>42626</v>
      </c>
      <c r="C689" s="497">
        <v>300</v>
      </c>
      <c r="D689" s="498">
        <v>14.48</v>
      </c>
      <c r="E689" s="499">
        <v>0</v>
      </c>
      <c r="F689" s="499">
        <f t="shared" si="204"/>
        <v>4344</v>
      </c>
      <c r="G689" s="496">
        <v>42641</v>
      </c>
      <c r="H689" s="513">
        <v>500</v>
      </c>
      <c r="I689" s="498">
        <v>14.26</v>
      </c>
      <c r="J689" s="499">
        <v>0.16</v>
      </c>
      <c r="K689" s="499">
        <f t="shared" si="205"/>
        <v>7129.84</v>
      </c>
      <c r="L689" s="497"/>
      <c r="M689" s="499"/>
    </row>
    <row r="690" spans="1:13" x14ac:dyDescent="0.25">
      <c r="A690" s="599"/>
      <c r="B690" s="545">
        <v>42626</v>
      </c>
      <c r="C690" s="497">
        <v>300</v>
      </c>
      <c r="D690" s="498">
        <v>14.25</v>
      </c>
      <c r="E690" s="499">
        <v>0</v>
      </c>
      <c r="F690" s="499">
        <f t="shared" si="204"/>
        <v>4275</v>
      </c>
      <c r="G690" s="496">
        <v>42642</v>
      </c>
      <c r="H690" s="513">
        <v>300</v>
      </c>
      <c r="I690" s="498">
        <v>15.28</v>
      </c>
      <c r="J690" s="499">
        <v>0.1</v>
      </c>
      <c r="K690" s="499">
        <f t="shared" si="205"/>
        <v>4583.8999999999996</v>
      </c>
      <c r="L690" s="497"/>
      <c r="M690" s="499"/>
    </row>
    <row r="691" spans="1:13" x14ac:dyDescent="0.25">
      <c r="A691" s="599"/>
      <c r="B691" s="545">
        <v>42627</v>
      </c>
      <c r="C691" s="497">
        <v>200</v>
      </c>
      <c r="D691" s="498">
        <v>14.02</v>
      </c>
      <c r="E691" s="499">
        <v>-1</v>
      </c>
      <c r="F691" s="499">
        <f t="shared" si="204"/>
        <v>2803</v>
      </c>
      <c r="G691" s="496">
        <v>42642</v>
      </c>
      <c r="H691" s="513">
        <v>700</v>
      </c>
      <c r="I691" s="498">
        <v>15.78</v>
      </c>
      <c r="J691" s="499">
        <v>0.24</v>
      </c>
      <c r="K691" s="499">
        <f t="shared" si="205"/>
        <v>11045.76</v>
      </c>
      <c r="L691" s="497"/>
      <c r="M691" s="499"/>
    </row>
    <row r="692" spans="1:13" x14ac:dyDescent="0.25">
      <c r="A692" s="497"/>
      <c r="B692" s="545">
        <v>42628</v>
      </c>
      <c r="C692" s="497">
        <v>300</v>
      </c>
      <c r="D692" s="498">
        <v>14.3</v>
      </c>
      <c r="E692" s="499">
        <v>0</v>
      </c>
      <c r="F692" s="499">
        <f t="shared" si="204"/>
        <v>4290</v>
      </c>
      <c r="G692" s="496">
        <v>42642</v>
      </c>
      <c r="H692" s="513">
        <v>214</v>
      </c>
      <c r="I692" s="498">
        <v>15.98</v>
      </c>
      <c r="J692" s="499">
        <v>7.0000000000000007E-2</v>
      </c>
      <c r="K692" s="499">
        <f t="shared" si="205"/>
        <v>3419.65</v>
      </c>
      <c r="L692" s="497"/>
      <c r="M692" s="499"/>
    </row>
    <row r="693" spans="1:13" x14ac:dyDescent="0.25">
      <c r="A693" s="497"/>
      <c r="B693" s="545">
        <v>42632</v>
      </c>
      <c r="C693" s="497">
        <v>200</v>
      </c>
      <c r="D693" s="498">
        <v>14.06</v>
      </c>
      <c r="E693" s="499">
        <v>0</v>
      </c>
      <c r="F693" s="499">
        <f t="shared" si="204"/>
        <v>2812</v>
      </c>
      <c r="G693" s="496">
        <v>42648</v>
      </c>
      <c r="H693" s="513">
        <v>1000</v>
      </c>
      <c r="I693" s="498">
        <v>16.079999999999998</v>
      </c>
      <c r="J693" s="499">
        <v>0.35</v>
      </c>
      <c r="K693" s="499">
        <f t="shared" si="205"/>
        <v>16079.649999999998</v>
      </c>
      <c r="L693" s="497"/>
      <c r="M693" s="499"/>
    </row>
    <row r="694" spans="1:13" x14ac:dyDescent="0.25">
      <c r="A694" s="497"/>
      <c r="B694" s="545">
        <v>42633</v>
      </c>
      <c r="C694" s="497">
        <v>200</v>
      </c>
      <c r="D694" s="498">
        <v>14.11</v>
      </c>
      <c r="E694" s="499">
        <v>0</v>
      </c>
      <c r="F694" s="499">
        <f t="shared" si="204"/>
        <v>2822</v>
      </c>
      <c r="G694" s="496">
        <v>42648</v>
      </c>
      <c r="H694" s="513">
        <v>500</v>
      </c>
      <c r="I694" s="498">
        <v>16.38</v>
      </c>
      <c r="J694" s="499">
        <v>0.18</v>
      </c>
      <c r="K694" s="499">
        <f t="shared" si="205"/>
        <v>8189.8199999999988</v>
      </c>
      <c r="L694" s="497"/>
      <c r="M694" s="499"/>
    </row>
    <row r="695" spans="1:13" x14ac:dyDescent="0.25">
      <c r="A695" s="497"/>
      <c r="B695" s="545">
        <v>42633</v>
      </c>
      <c r="C695" s="497">
        <v>122</v>
      </c>
      <c r="D695" s="498">
        <v>14.1</v>
      </c>
      <c r="E695" s="499">
        <v>0</v>
      </c>
      <c r="F695" s="499">
        <f t="shared" si="204"/>
        <v>1720.2</v>
      </c>
      <c r="G695" s="496">
        <v>42649</v>
      </c>
      <c r="H695" s="513">
        <v>500</v>
      </c>
      <c r="I695" s="498">
        <v>16.16</v>
      </c>
      <c r="J695" s="499">
        <v>0.18</v>
      </c>
      <c r="K695" s="499">
        <f t="shared" si="205"/>
        <v>8079.82</v>
      </c>
      <c r="L695" s="497"/>
      <c r="M695" s="499"/>
    </row>
    <row r="696" spans="1:13" x14ac:dyDescent="0.25">
      <c r="A696" s="497"/>
      <c r="B696" s="545">
        <v>42636</v>
      </c>
      <c r="C696" s="497">
        <v>200</v>
      </c>
      <c r="D696" s="498">
        <v>14.38</v>
      </c>
      <c r="E696" s="499">
        <v>0</v>
      </c>
      <c r="F696" s="499">
        <f t="shared" si="204"/>
        <v>2876</v>
      </c>
      <c r="G696" s="496">
        <v>42671</v>
      </c>
      <c r="H696" s="513">
        <v>1000</v>
      </c>
      <c r="I696" s="498">
        <v>14.22</v>
      </c>
      <c r="J696" s="499">
        <v>0.31</v>
      </c>
      <c r="K696" s="499">
        <f t="shared" si="205"/>
        <v>14219.69</v>
      </c>
      <c r="L696" s="497"/>
      <c r="M696" s="499"/>
    </row>
    <row r="697" spans="1:13" x14ac:dyDescent="0.25">
      <c r="A697" s="497"/>
      <c r="B697" s="545">
        <v>42639</v>
      </c>
      <c r="C697" s="497">
        <v>200</v>
      </c>
      <c r="D697" s="498">
        <v>14.5</v>
      </c>
      <c r="E697" s="499">
        <v>0</v>
      </c>
      <c r="F697" s="499">
        <f t="shared" ref="F697:F711" si="206">C697*D697+E697</f>
        <v>2900</v>
      </c>
      <c r="G697" s="496">
        <v>42674</v>
      </c>
      <c r="H697" s="513">
        <v>300</v>
      </c>
      <c r="I697" s="498">
        <v>13.42</v>
      </c>
      <c r="J697" s="499">
        <v>0.09</v>
      </c>
      <c r="K697" s="499">
        <f t="shared" si="205"/>
        <v>4025.91</v>
      </c>
      <c r="L697" s="497"/>
      <c r="M697" s="499"/>
    </row>
    <row r="698" spans="1:13" x14ac:dyDescent="0.25">
      <c r="A698" s="497"/>
      <c r="B698" s="545">
        <v>42639</v>
      </c>
      <c r="C698" s="497">
        <v>200</v>
      </c>
      <c r="D698" s="498">
        <v>14.38</v>
      </c>
      <c r="E698" s="499">
        <v>0</v>
      </c>
      <c r="F698" s="499">
        <f t="shared" si="206"/>
        <v>2876</v>
      </c>
      <c r="G698" s="496">
        <v>42674</v>
      </c>
      <c r="H698" s="513">
        <v>200</v>
      </c>
      <c r="I698" s="498">
        <v>13.25</v>
      </c>
      <c r="J698" s="499">
        <v>-0.74</v>
      </c>
      <c r="K698" s="499">
        <f t="shared" si="205"/>
        <v>2650.74</v>
      </c>
      <c r="L698" s="497"/>
      <c r="M698" s="499"/>
    </row>
    <row r="699" spans="1:13" x14ac:dyDescent="0.25">
      <c r="A699" s="497"/>
      <c r="B699" s="545">
        <v>42640</v>
      </c>
      <c r="C699" s="497">
        <v>322</v>
      </c>
      <c r="D699" s="498">
        <v>13.97</v>
      </c>
      <c r="E699" s="499">
        <v>0</v>
      </c>
      <c r="F699" s="499">
        <f t="shared" si="206"/>
        <v>4498.34</v>
      </c>
      <c r="G699" s="496">
        <v>42676</v>
      </c>
      <c r="H699" s="513">
        <v>200</v>
      </c>
      <c r="I699" s="498">
        <v>13.05</v>
      </c>
      <c r="J699" s="499">
        <v>0.06</v>
      </c>
      <c r="K699" s="499">
        <f t="shared" si="205"/>
        <v>2609.94</v>
      </c>
      <c r="L699" s="497"/>
      <c r="M699" s="499"/>
    </row>
    <row r="700" spans="1:13" x14ac:dyDescent="0.25">
      <c r="A700" s="497"/>
      <c r="B700" s="545">
        <v>42641</v>
      </c>
      <c r="C700" s="497">
        <v>300</v>
      </c>
      <c r="D700" s="498">
        <v>14.02</v>
      </c>
      <c r="E700" s="499">
        <v>-1.26</v>
      </c>
      <c r="F700" s="499">
        <f t="shared" si="206"/>
        <v>4204.74</v>
      </c>
      <c r="G700" s="496">
        <v>42677</v>
      </c>
      <c r="H700" s="513">
        <v>500</v>
      </c>
      <c r="I700" s="498">
        <v>13.96</v>
      </c>
      <c r="J700" s="499">
        <v>0.15</v>
      </c>
      <c r="K700" s="499">
        <f t="shared" si="205"/>
        <v>6979.85</v>
      </c>
      <c r="L700" s="497"/>
      <c r="M700" s="499"/>
    </row>
    <row r="701" spans="1:13" x14ac:dyDescent="0.25">
      <c r="A701" s="497"/>
      <c r="B701" s="545">
        <v>42641</v>
      </c>
      <c r="C701" s="497">
        <v>200</v>
      </c>
      <c r="D701" s="498">
        <v>14.17</v>
      </c>
      <c r="E701" s="499">
        <v>0</v>
      </c>
      <c r="F701" s="499">
        <f t="shared" si="206"/>
        <v>2834</v>
      </c>
      <c r="G701" s="496">
        <v>42677</v>
      </c>
      <c r="H701" s="513">
        <v>2000</v>
      </c>
      <c r="I701" s="498">
        <v>14.5</v>
      </c>
      <c r="J701" s="499">
        <v>0.63</v>
      </c>
      <c r="K701" s="499">
        <f t="shared" si="205"/>
        <v>28999.37</v>
      </c>
      <c r="L701" s="497"/>
      <c r="M701" s="499"/>
    </row>
    <row r="702" spans="1:13" x14ac:dyDescent="0.25">
      <c r="A702" s="497"/>
      <c r="B702" s="545">
        <v>42642</v>
      </c>
      <c r="C702" s="497">
        <v>414</v>
      </c>
      <c r="D702" s="498">
        <v>15.66</v>
      </c>
      <c r="E702" s="499">
        <v>0</v>
      </c>
      <c r="F702" s="499">
        <f t="shared" si="206"/>
        <v>6483.24</v>
      </c>
      <c r="G702" s="496">
        <v>42682</v>
      </c>
      <c r="H702" s="513">
        <v>1000</v>
      </c>
      <c r="I702" s="498">
        <v>14.28</v>
      </c>
      <c r="J702" s="499">
        <v>0.31</v>
      </c>
      <c r="K702" s="499">
        <f t="shared" si="205"/>
        <v>14279.69</v>
      </c>
      <c r="L702" s="497"/>
      <c r="M702" s="499"/>
    </row>
    <row r="703" spans="1:13" ht="30" x14ac:dyDescent="0.25">
      <c r="A703" s="599" t="s">
        <v>292</v>
      </c>
      <c r="B703" s="545">
        <v>42647</v>
      </c>
      <c r="C703" s="497">
        <v>500</v>
      </c>
      <c r="D703" s="498">
        <v>15.86</v>
      </c>
      <c r="E703" s="499">
        <v>0</v>
      </c>
      <c r="F703" s="499">
        <f t="shared" si="206"/>
        <v>7930</v>
      </c>
      <c r="G703" s="496">
        <v>42685</v>
      </c>
      <c r="H703" s="513">
        <v>500</v>
      </c>
      <c r="I703" s="498">
        <v>15.88</v>
      </c>
      <c r="J703" s="499">
        <v>0.17</v>
      </c>
      <c r="K703" s="499">
        <f t="shared" si="205"/>
        <v>7939.83</v>
      </c>
      <c r="L703" s="497"/>
      <c r="M703" s="499"/>
    </row>
    <row r="704" spans="1:13" x14ac:dyDescent="0.25">
      <c r="A704" s="599"/>
      <c r="B704" s="545">
        <v>42647</v>
      </c>
      <c r="C704" s="497">
        <v>500</v>
      </c>
      <c r="D704" s="498">
        <v>15.62</v>
      </c>
      <c r="E704" s="499">
        <v>0</v>
      </c>
      <c r="F704" s="499">
        <f t="shared" si="206"/>
        <v>7810</v>
      </c>
      <c r="G704" s="496">
        <v>42695</v>
      </c>
      <c r="H704" s="513">
        <v>2272</v>
      </c>
      <c r="I704" s="498">
        <v>16.28</v>
      </c>
      <c r="J704" s="499">
        <v>0.81</v>
      </c>
      <c r="K704" s="499">
        <f t="shared" si="205"/>
        <v>36987.350000000006</v>
      </c>
      <c r="L704" s="497"/>
      <c r="M704" s="499"/>
    </row>
    <row r="705" spans="1:13" x14ac:dyDescent="0.25">
      <c r="A705" s="599"/>
      <c r="B705" s="545">
        <v>42649</v>
      </c>
      <c r="C705" s="497">
        <v>500</v>
      </c>
      <c r="D705" s="498">
        <v>15.97</v>
      </c>
      <c r="E705" s="499">
        <v>0</v>
      </c>
      <c r="F705" s="499">
        <f t="shared" si="206"/>
        <v>7985</v>
      </c>
      <c r="G705" s="496">
        <v>42695</v>
      </c>
      <c r="H705" s="513">
        <v>500</v>
      </c>
      <c r="I705" s="498">
        <v>16.45</v>
      </c>
      <c r="J705" s="499">
        <v>0.18</v>
      </c>
      <c r="K705" s="499">
        <f t="shared" si="205"/>
        <v>8224.82</v>
      </c>
      <c r="L705" s="497"/>
      <c r="M705" s="499"/>
    </row>
    <row r="706" spans="1:13" x14ac:dyDescent="0.25">
      <c r="A706" s="599"/>
      <c r="B706" s="545">
        <v>42649</v>
      </c>
      <c r="C706" s="497">
        <v>500</v>
      </c>
      <c r="D706" s="498">
        <v>15.84</v>
      </c>
      <c r="E706" s="499">
        <v>0</v>
      </c>
      <c r="F706" s="499">
        <f t="shared" si="206"/>
        <v>7920</v>
      </c>
      <c r="G706" s="496">
        <v>42696</v>
      </c>
      <c r="H706" s="513">
        <v>500</v>
      </c>
      <c r="I706" s="498">
        <v>16.54</v>
      </c>
      <c r="J706" s="499">
        <v>0.18</v>
      </c>
      <c r="K706" s="499">
        <f t="shared" si="205"/>
        <v>8269.82</v>
      </c>
      <c r="L706" s="497"/>
      <c r="M706" s="499"/>
    </row>
    <row r="707" spans="1:13" x14ac:dyDescent="0.25">
      <c r="A707" s="497"/>
      <c r="B707" s="545">
        <v>42649</v>
      </c>
      <c r="C707" s="497">
        <v>500</v>
      </c>
      <c r="D707" s="498">
        <v>16.079999999999998</v>
      </c>
      <c r="E707" s="499">
        <v>0</v>
      </c>
      <c r="F707" s="499">
        <f t="shared" si="206"/>
        <v>8039.9999999999991</v>
      </c>
      <c r="G707" s="496">
        <v>42697</v>
      </c>
      <c r="H707" s="513">
        <v>200</v>
      </c>
      <c r="I707" s="498">
        <v>16.79</v>
      </c>
      <c r="J707" s="499">
        <v>7.0000000000000007E-2</v>
      </c>
      <c r="K707" s="499">
        <f t="shared" si="205"/>
        <v>3357.93</v>
      </c>
      <c r="L707" s="497"/>
      <c r="M707" s="499"/>
    </row>
    <row r="708" spans="1:13" x14ac:dyDescent="0.25">
      <c r="A708" s="497"/>
      <c r="B708" s="545">
        <v>42650</v>
      </c>
      <c r="C708" s="497">
        <v>300</v>
      </c>
      <c r="D708" s="498">
        <v>15.75</v>
      </c>
      <c r="E708" s="499">
        <v>0</v>
      </c>
      <c r="F708" s="499">
        <f t="shared" si="206"/>
        <v>4725</v>
      </c>
      <c r="G708" s="496">
        <v>42697</v>
      </c>
      <c r="H708" s="513">
        <v>500</v>
      </c>
      <c r="I708" s="498">
        <v>16.59</v>
      </c>
      <c r="J708" s="499">
        <v>0.18</v>
      </c>
      <c r="K708" s="499">
        <f t="shared" si="205"/>
        <v>8294.82</v>
      </c>
      <c r="L708" s="497"/>
      <c r="M708" s="499"/>
    </row>
    <row r="709" spans="1:13" x14ac:dyDescent="0.25">
      <c r="A709" s="497"/>
      <c r="B709" s="545">
        <v>42650</v>
      </c>
      <c r="C709" s="497">
        <v>300</v>
      </c>
      <c r="D709" s="498">
        <v>15.58</v>
      </c>
      <c r="E709" s="499">
        <v>0</v>
      </c>
      <c r="F709" s="499">
        <f t="shared" si="206"/>
        <v>4674</v>
      </c>
      <c r="G709" s="496">
        <v>42704</v>
      </c>
      <c r="H709" s="513">
        <v>1000</v>
      </c>
      <c r="I709" s="498">
        <v>16.420000000000002</v>
      </c>
      <c r="J709" s="499">
        <v>0.36</v>
      </c>
      <c r="K709" s="499">
        <f t="shared" si="205"/>
        <v>16419.64</v>
      </c>
      <c r="L709" s="497"/>
      <c r="M709" s="499"/>
    </row>
    <row r="710" spans="1:13" x14ac:dyDescent="0.25">
      <c r="A710" s="497"/>
      <c r="B710" s="545">
        <v>42653</v>
      </c>
      <c r="C710" s="497">
        <v>394</v>
      </c>
      <c r="D710" s="498">
        <v>15.72</v>
      </c>
      <c r="E710" s="499">
        <v>0</v>
      </c>
      <c r="F710" s="499">
        <f t="shared" si="206"/>
        <v>6193.68</v>
      </c>
      <c r="G710" s="496">
        <v>42704</v>
      </c>
      <c r="H710" s="513">
        <v>300</v>
      </c>
      <c r="I710" s="498">
        <v>16.78</v>
      </c>
      <c r="J710" s="499">
        <v>1.61</v>
      </c>
      <c r="K710" s="499">
        <f t="shared" si="205"/>
        <v>5032.3900000000003</v>
      </c>
      <c r="L710" s="497"/>
      <c r="M710" s="499"/>
    </row>
    <row r="711" spans="1:13" x14ac:dyDescent="0.25">
      <c r="A711" s="497"/>
      <c r="B711" s="545">
        <v>42653</v>
      </c>
      <c r="C711" s="497">
        <v>6</v>
      </c>
      <c r="D711" s="498">
        <v>15.72</v>
      </c>
      <c r="E711" s="499">
        <v>0</v>
      </c>
      <c r="F711" s="499">
        <f t="shared" si="206"/>
        <v>94.320000000000007</v>
      </c>
      <c r="G711" s="496">
        <v>42704</v>
      </c>
      <c r="H711" s="513">
        <v>1000</v>
      </c>
      <c r="I711" s="498">
        <v>17.079999999999998</v>
      </c>
      <c r="J711" s="499">
        <v>0.37</v>
      </c>
      <c r="K711" s="499">
        <f t="shared" si="205"/>
        <v>17079.63</v>
      </c>
      <c r="L711" s="497"/>
      <c r="M711" s="499"/>
    </row>
    <row r="712" spans="1:13" x14ac:dyDescent="0.25">
      <c r="A712" s="497"/>
      <c r="B712" s="545">
        <v>42655</v>
      </c>
      <c r="C712" s="497">
        <v>22</v>
      </c>
      <c r="D712" s="498">
        <v>15.48</v>
      </c>
      <c r="E712" s="499">
        <v>0</v>
      </c>
      <c r="F712" s="499">
        <f>C712*D712+E712</f>
        <v>340.56</v>
      </c>
      <c r="G712" s="496">
        <v>42704</v>
      </c>
      <c r="H712" s="513">
        <v>1000</v>
      </c>
      <c r="I712" s="498">
        <v>17.32</v>
      </c>
      <c r="J712" s="499">
        <v>0.38</v>
      </c>
      <c r="K712" s="499">
        <f t="shared" si="205"/>
        <v>17319.62</v>
      </c>
      <c r="L712" s="497"/>
      <c r="M712" s="499"/>
    </row>
    <row r="713" spans="1:13" x14ac:dyDescent="0.25">
      <c r="A713" s="497"/>
      <c r="B713" s="545">
        <v>42655</v>
      </c>
      <c r="C713" s="497">
        <v>300</v>
      </c>
      <c r="D713" s="498">
        <v>15.48</v>
      </c>
      <c r="E713" s="499">
        <v>0</v>
      </c>
      <c r="F713" s="499">
        <f>C713*D713+E713</f>
        <v>4644</v>
      </c>
      <c r="G713" s="496">
        <v>42704</v>
      </c>
      <c r="H713" s="513">
        <v>500</v>
      </c>
      <c r="I713" s="498">
        <v>17.64</v>
      </c>
      <c r="J713" s="499">
        <v>0.19</v>
      </c>
      <c r="K713" s="499">
        <f t="shared" si="205"/>
        <v>8819.81</v>
      </c>
      <c r="L713" s="497"/>
      <c r="M713" s="499"/>
    </row>
    <row r="714" spans="1:13" x14ac:dyDescent="0.25">
      <c r="A714" s="600"/>
      <c r="B714" s="545">
        <v>42668</v>
      </c>
      <c r="C714" s="497">
        <v>500</v>
      </c>
      <c r="D714" s="498">
        <v>14.26</v>
      </c>
      <c r="E714" s="499">
        <v>-2.5</v>
      </c>
      <c r="F714" s="499">
        <f t="shared" ref="F714:F723" si="207">C714*D714+E714</f>
        <v>7127.5</v>
      </c>
      <c r="G714" s="496">
        <v>42705</v>
      </c>
      <c r="H714" s="513">
        <v>528</v>
      </c>
      <c r="I714" s="498">
        <v>18.7</v>
      </c>
      <c r="J714" s="499">
        <v>0.22</v>
      </c>
      <c r="K714" s="499">
        <f t="shared" si="205"/>
        <v>9873.380000000001</v>
      </c>
      <c r="L714" s="497"/>
      <c r="M714" s="499"/>
    </row>
    <row r="715" spans="1:13" x14ac:dyDescent="0.25">
      <c r="A715" s="600"/>
      <c r="B715" s="545">
        <v>42668</v>
      </c>
      <c r="C715" s="497">
        <v>500</v>
      </c>
      <c r="D715" s="498">
        <v>14.16</v>
      </c>
      <c r="E715" s="499">
        <v>0</v>
      </c>
      <c r="F715" s="499">
        <f t="shared" si="207"/>
        <v>7080</v>
      </c>
      <c r="G715" s="496">
        <v>42711</v>
      </c>
      <c r="H715" s="513">
        <v>500</v>
      </c>
      <c r="I715" s="498">
        <v>18.329999999999998</v>
      </c>
      <c r="J715" s="499">
        <v>0.2</v>
      </c>
      <c r="K715" s="499">
        <f t="shared" si="205"/>
        <v>9164.7999999999993</v>
      </c>
      <c r="L715" s="497"/>
      <c r="M715" s="499"/>
    </row>
    <row r="716" spans="1:13" x14ac:dyDescent="0.25">
      <c r="A716" s="600"/>
      <c r="B716" s="545">
        <v>42670</v>
      </c>
      <c r="C716" s="497">
        <v>500</v>
      </c>
      <c r="D716" s="498">
        <v>14.18</v>
      </c>
      <c r="E716" s="499">
        <v>0</v>
      </c>
      <c r="F716" s="499">
        <f t="shared" si="207"/>
        <v>7090</v>
      </c>
      <c r="G716" s="496">
        <v>42713</v>
      </c>
      <c r="H716" s="513">
        <v>500</v>
      </c>
      <c r="I716" s="498">
        <v>18.28</v>
      </c>
      <c r="J716" s="499">
        <v>0.2</v>
      </c>
      <c r="K716" s="499">
        <f t="shared" si="205"/>
        <v>9139.7999999999993</v>
      </c>
      <c r="L716" s="497"/>
      <c r="M716" s="499"/>
    </row>
    <row r="717" spans="1:13" x14ac:dyDescent="0.25">
      <c r="A717" s="600"/>
      <c r="B717" s="545">
        <v>42670</v>
      </c>
      <c r="C717" s="497">
        <v>500</v>
      </c>
      <c r="D717" s="498">
        <v>14.05</v>
      </c>
      <c r="E717" s="499">
        <v>0</v>
      </c>
      <c r="F717" s="499">
        <f t="shared" si="207"/>
        <v>7025</v>
      </c>
      <c r="G717" s="496">
        <v>42718</v>
      </c>
      <c r="H717" s="513">
        <v>200</v>
      </c>
      <c r="I717" s="498">
        <v>18.78</v>
      </c>
      <c r="J717" s="499">
        <v>0.08</v>
      </c>
      <c r="K717" s="499">
        <f t="shared" si="205"/>
        <v>3755.92</v>
      </c>
      <c r="L717" s="497"/>
      <c r="M717" s="499"/>
    </row>
    <row r="718" spans="1:13" x14ac:dyDescent="0.25">
      <c r="A718" s="600"/>
      <c r="B718" s="545">
        <v>42670</v>
      </c>
      <c r="C718" s="497">
        <v>500</v>
      </c>
      <c r="D718" s="498">
        <v>13.88</v>
      </c>
      <c r="E718" s="499">
        <v>0</v>
      </c>
      <c r="F718" s="499">
        <f t="shared" si="207"/>
        <v>6940</v>
      </c>
      <c r="G718" s="496">
        <v>42734</v>
      </c>
      <c r="H718" s="513">
        <v>1000</v>
      </c>
      <c r="I718" s="498">
        <v>17.72</v>
      </c>
      <c r="J718" s="499">
        <v>0.39</v>
      </c>
      <c r="K718" s="499">
        <f t="shared" si="205"/>
        <v>17719.61</v>
      </c>
      <c r="L718" s="497"/>
      <c r="M718" s="499"/>
    </row>
    <row r="719" spans="1:13" x14ac:dyDescent="0.25">
      <c r="A719" s="497"/>
      <c r="B719" s="545">
        <v>42671</v>
      </c>
      <c r="C719" s="497">
        <v>1000</v>
      </c>
      <c r="D719" s="498">
        <v>14.15</v>
      </c>
      <c r="E719" s="499">
        <v>0</v>
      </c>
      <c r="F719" s="499">
        <f t="shared" si="207"/>
        <v>14150</v>
      </c>
      <c r="G719" s="496">
        <v>42739</v>
      </c>
      <c r="H719" s="513">
        <v>500</v>
      </c>
      <c r="I719" s="498">
        <v>18.079999999999998</v>
      </c>
      <c r="J719" s="499">
        <v>0.2</v>
      </c>
      <c r="K719" s="499">
        <f t="shared" si="205"/>
        <v>9039.7999999999993</v>
      </c>
      <c r="L719" s="497"/>
      <c r="M719" s="499"/>
    </row>
    <row r="720" spans="1:13" x14ac:dyDescent="0.25">
      <c r="A720" s="497"/>
      <c r="B720" s="545">
        <v>42674</v>
      </c>
      <c r="C720" s="497">
        <v>300</v>
      </c>
      <c r="D720" s="498">
        <v>13.28</v>
      </c>
      <c r="E720" s="499">
        <v>-1.5</v>
      </c>
      <c r="F720" s="499">
        <f t="shared" si="207"/>
        <v>3982.5</v>
      </c>
      <c r="G720" s="496">
        <v>42748</v>
      </c>
      <c r="H720" s="513">
        <v>500</v>
      </c>
      <c r="I720" s="498">
        <v>17.48</v>
      </c>
      <c r="J720" s="499">
        <v>0.19</v>
      </c>
      <c r="K720" s="499">
        <f t="shared" si="205"/>
        <v>8739.81</v>
      </c>
      <c r="L720" s="497"/>
      <c r="M720" s="499"/>
    </row>
    <row r="721" spans="1:13" x14ac:dyDescent="0.25">
      <c r="A721" s="497"/>
      <c r="B721" s="545">
        <v>42674</v>
      </c>
      <c r="C721" s="497">
        <v>200</v>
      </c>
      <c r="D721" s="498">
        <v>13.15</v>
      </c>
      <c r="E721" s="499">
        <v>0.02</v>
      </c>
      <c r="F721" s="499">
        <f t="shared" si="207"/>
        <v>2630.02</v>
      </c>
      <c r="G721" s="496">
        <v>42761</v>
      </c>
      <c r="H721" s="513">
        <v>1000</v>
      </c>
      <c r="I721" s="498">
        <v>17.899999999999999</v>
      </c>
      <c r="J721" s="499">
        <v>0.39</v>
      </c>
      <c r="K721" s="499">
        <f t="shared" si="205"/>
        <v>17899.61</v>
      </c>
      <c r="L721" s="497"/>
      <c r="M721" s="499"/>
    </row>
    <row r="722" spans="1:13" x14ac:dyDescent="0.25">
      <c r="A722" s="497"/>
      <c r="B722" s="545">
        <v>42676</v>
      </c>
      <c r="C722" s="497">
        <v>200</v>
      </c>
      <c r="D722" s="498">
        <v>12.89</v>
      </c>
      <c r="E722" s="499">
        <v>0</v>
      </c>
      <c r="F722" s="499">
        <f t="shared" si="207"/>
        <v>2578</v>
      </c>
      <c r="G722" s="496">
        <v>42766</v>
      </c>
      <c r="H722" s="513">
        <v>300</v>
      </c>
      <c r="I722" s="498">
        <v>16.649999999999999</v>
      </c>
      <c r="J722" s="499">
        <v>0.11</v>
      </c>
      <c r="K722" s="499">
        <f t="shared" si="205"/>
        <v>4994.8900000000003</v>
      </c>
      <c r="L722" s="497"/>
      <c r="M722" s="499"/>
    </row>
    <row r="723" spans="1:13" x14ac:dyDescent="0.25">
      <c r="A723" s="497"/>
      <c r="B723" s="545">
        <v>42678</v>
      </c>
      <c r="C723" s="497">
        <v>500</v>
      </c>
      <c r="D723" s="498">
        <v>13.69</v>
      </c>
      <c r="E723" s="499">
        <v>0</v>
      </c>
      <c r="F723" s="499">
        <f t="shared" si="207"/>
        <v>6845</v>
      </c>
      <c r="G723" s="496">
        <v>42767</v>
      </c>
      <c r="H723" s="513">
        <v>612</v>
      </c>
      <c r="I723" s="498">
        <v>17.03</v>
      </c>
      <c r="J723" s="499">
        <v>0.23</v>
      </c>
      <c r="K723" s="499">
        <f t="shared" si="205"/>
        <v>10422.130000000001</v>
      </c>
      <c r="L723" s="497"/>
      <c r="M723" s="499"/>
    </row>
    <row r="724" spans="1:13" x14ac:dyDescent="0.25">
      <c r="A724" s="497"/>
      <c r="B724" s="545">
        <v>42678</v>
      </c>
      <c r="C724" s="497">
        <v>500</v>
      </c>
      <c r="D724" s="498">
        <v>13.69</v>
      </c>
      <c r="E724" s="499">
        <v>0</v>
      </c>
      <c r="F724" s="499">
        <f>C724*D724+E724</f>
        <v>6845</v>
      </c>
      <c r="G724" s="496">
        <v>42767</v>
      </c>
      <c r="H724" s="513">
        <v>288</v>
      </c>
      <c r="I724" s="498">
        <v>17.12</v>
      </c>
      <c r="J724" s="499">
        <v>0.11</v>
      </c>
      <c r="K724" s="499">
        <f t="shared" si="205"/>
        <v>4930.4500000000007</v>
      </c>
      <c r="L724" s="497"/>
      <c r="M724" s="499"/>
    </row>
    <row r="725" spans="1:13" x14ac:dyDescent="0.25">
      <c r="A725" s="497"/>
      <c r="B725" s="545">
        <v>42691</v>
      </c>
      <c r="C725" s="497">
        <v>150</v>
      </c>
      <c r="D725" s="498">
        <v>15.48</v>
      </c>
      <c r="E725" s="499">
        <v>0</v>
      </c>
      <c r="F725" s="499">
        <f t="shared" ref="F725:F741" si="208">C725*D725+E725</f>
        <v>2322</v>
      </c>
      <c r="G725" s="496">
        <v>42767</v>
      </c>
      <c r="H725" s="513">
        <v>700</v>
      </c>
      <c r="I725" s="498">
        <v>16.57</v>
      </c>
      <c r="J725" s="499">
        <v>0.25</v>
      </c>
      <c r="K725" s="499">
        <f t="shared" si="205"/>
        <v>11598.75</v>
      </c>
      <c r="L725" s="497"/>
      <c r="M725" s="499"/>
    </row>
    <row r="726" spans="1:13" x14ac:dyDescent="0.25">
      <c r="A726" s="497"/>
      <c r="B726" s="545">
        <v>42691</v>
      </c>
      <c r="C726" s="497">
        <v>300</v>
      </c>
      <c r="D726" s="498">
        <v>15.48</v>
      </c>
      <c r="E726" s="499">
        <v>0</v>
      </c>
      <c r="F726" s="499">
        <f t="shared" si="208"/>
        <v>4644</v>
      </c>
      <c r="G726" s="496">
        <v>42768</v>
      </c>
      <c r="H726" s="513">
        <v>200</v>
      </c>
      <c r="I726" s="498">
        <v>16.7</v>
      </c>
      <c r="J726" s="499">
        <v>7.0000000000000007E-2</v>
      </c>
      <c r="K726" s="499">
        <f t="shared" si="205"/>
        <v>3339.93</v>
      </c>
      <c r="L726" s="497"/>
      <c r="M726" s="499"/>
    </row>
    <row r="727" spans="1:13" x14ac:dyDescent="0.25">
      <c r="A727" s="497"/>
      <c r="B727" s="545">
        <v>42696</v>
      </c>
      <c r="C727" s="497">
        <v>1000</v>
      </c>
      <c r="D727" s="498">
        <v>16.12</v>
      </c>
      <c r="E727" s="499">
        <v>0</v>
      </c>
      <c r="F727" s="499">
        <f t="shared" si="208"/>
        <v>16120.000000000002</v>
      </c>
      <c r="G727" s="496">
        <v>42768</v>
      </c>
      <c r="H727" s="513">
        <v>500</v>
      </c>
      <c r="I727" s="498">
        <v>16.600000000000001</v>
      </c>
      <c r="J727" s="499">
        <v>-1.82</v>
      </c>
      <c r="K727" s="499">
        <f t="shared" si="205"/>
        <v>8301.82</v>
      </c>
      <c r="L727" s="497"/>
      <c r="M727" s="499"/>
    </row>
    <row r="728" spans="1:13" x14ac:dyDescent="0.25">
      <c r="A728" s="497"/>
      <c r="B728" s="545">
        <v>42699</v>
      </c>
      <c r="C728" s="497">
        <v>200</v>
      </c>
      <c r="D728" s="498">
        <v>16.28</v>
      </c>
      <c r="E728" s="499">
        <v>0</v>
      </c>
      <c r="F728" s="499">
        <f t="shared" si="208"/>
        <v>3256</v>
      </c>
      <c r="G728" s="496">
        <v>42768</v>
      </c>
      <c r="H728" s="513">
        <v>500</v>
      </c>
      <c r="I728" s="498">
        <v>16.75</v>
      </c>
      <c r="J728" s="499">
        <v>0.18</v>
      </c>
      <c r="K728" s="499">
        <f t="shared" si="205"/>
        <v>8374.82</v>
      </c>
      <c r="L728" s="497"/>
      <c r="M728" s="499"/>
    </row>
    <row r="729" spans="1:13" x14ac:dyDescent="0.25">
      <c r="A729" s="600"/>
      <c r="B729" s="545">
        <v>42699</v>
      </c>
      <c r="C729" s="497">
        <v>500</v>
      </c>
      <c r="D729" s="498">
        <v>16.16</v>
      </c>
      <c r="E729" s="499">
        <v>0</v>
      </c>
      <c r="F729" s="499">
        <f t="shared" si="208"/>
        <v>8080</v>
      </c>
      <c r="G729" s="496">
        <v>42769</v>
      </c>
      <c r="H729" s="601">
        <v>400</v>
      </c>
      <c r="I729" s="602">
        <v>16.95</v>
      </c>
      <c r="J729" s="603">
        <v>0.15</v>
      </c>
      <c r="K729" s="603">
        <f t="shared" si="205"/>
        <v>6779.85</v>
      </c>
      <c r="L729" s="497"/>
      <c r="M729" s="499"/>
    </row>
    <row r="730" spans="1:13" x14ac:dyDescent="0.25">
      <c r="A730" s="600"/>
      <c r="B730" s="545">
        <v>42702</v>
      </c>
      <c r="C730" s="497">
        <v>500</v>
      </c>
      <c r="D730" s="498">
        <v>16.059999999999999</v>
      </c>
      <c r="E730" s="499">
        <v>0</v>
      </c>
      <c r="F730" s="499">
        <f t="shared" si="208"/>
        <v>8029.9999999999991</v>
      </c>
      <c r="G730" s="496">
        <v>42769</v>
      </c>
      <c r="H730" s="601">
        <v>300</v>
      </c>
      <c r="I730" s="602">
        <v>17.32</v>
      </c>
      <c r="J730" s="603">
        <v>0.11</v>
      </c>
      <c r="K730" s="603">
        <f t="shared" si="205"/>
        <v>5195.8900000000003</v>
      </c>
      <c r="L730" s="497"/>
      <c r="M730" s="499"/>
    </row>
    <row r="731" spans="1:13" x14ac:dyDescent="0.25">
      <c r="A731" s="600"/>
      <c r="B731" s="545">
        <v>42702</v>
      </c>
      <c r="C731" s="497">
        <v>200</v>
      </c>
      <c r="D731" s="498">
        <v>15.8</v>
      </c>
      <c r="E731" s="499">
        <v>0</v>
      </c>
      <c r="F731" s="499">
        <f t="shared" si="208"/>
        <v>3160</v>
      </c>
      <c r="G731" s="496">
        <v>42781</v>
      </c>
      <c r="H731" s="513">
        <v>600</v>
      </c>
      <c r="I731" s="498">
        <v>16.52</v>
      </c>
      <c r="J731" s="499">
        <v>0.22</v>
      </c>
      <c r="K731" s="499">
        <f t="shared" si="205"/>
        <v>9911.7800000000007</v>
      </c>
      <c r="L731" s="497"/>
      <c r="M731" s="499"/>
    </row>
    <row r="732" spans="1:13" x14ac:dyDescent="0.25">
      <c r="A732" s="600"/>
      <c r="B732" s="545">
        <v>42702</v>
      </c>
      <c r="C732" s="497">
        <v>300</v>
      </c>
      <c r="D732" s="498">
        <v>15.65</v>
      </c>
      <c r="E732" s="499">
        <v>0</v>
      </c>
      <c r="F732" s="499">
        <f t="shared" si="208"/>
        <v>4695</v>
      </c>
      <c r="G732" s="496">
        <v>42781</v>
      </c>
      <c r="H732" s="513">
        <v>300</v>
      </c>
      <c r="I732" s="498">
        <v>16.440000000000001</v>
      </c>
      <c r="J732" s="499">
        <v>0.11</v>
      </c>
      <c r="K732" s="499">
        <f t="shared" si="205"/>
        <v>4931.8900000000003</v>
      </c>
      <c r="L732" s="497"/>
      <c r="M732" s="499"/>
    </row>
    <row r="733" spans="1:13" x14ac:dyDescent="0.25">
      <c r="A733" s="497"/>
      <c r="B733" s="545">
        <v>42703</v>
      </c>
      <c r="C733" s="497">
        <v>300</v>
      </c>
      <c r="D733" s="498">
        <v>14.78</v>
      </c>
      <c r="E733" s="499">
        <v>0</v>
      </c>
      <c r="F733" s="499">
        <f t="shared" si="208"/>
        <v>4434</v>
      </c>
      <c r="G733" s="496">
        <v>42782</v>
      </c>
      <c r="H733" s="513">
        <v>300</v>
      </c>
      <c r="I733" s="498">
        <v>17</v>
      </c>
      <c r="J733" s="499">
        <v>0.11</v>
      </c>
      <c r="K733" s="499">
        <f t="shared" si="205"/>
        <v>5099.8900000000003</v>
      </c>
      <c r="L733" s="497"/>
      <c r="M733" s="499"/>
    </row>
    <row r="734" spans="1:13" x14ac:dyDescent="0.25">
      <c r="A734" s="497"/>
      <c r="B734" s="545">
        <v>42705</v>
      </c>
      <c r="C734" s="497">
        <v>350</v>
      </c>
      <c r="D734" s="498">
        <v>17.600000000000001</v>
      </c>
      <c r="E734" s="499">
        <v>0</v>
      </c>
      <c r="F734" s="499">
        <f t="shared" si="208"/>
        <v>6160.0000000000009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42711</v>
      </c>
      <c r="C735" s="497">
        <v>500</v>
      </c>
      <c r="D735" s="498">
        <v>18.12</v>
      </c>
      <c r="E735" s="499">
        <v>0</v>
      </c>
      <c r="F735" s="499">
        <f t="shared" si="208"/>
        <v>9060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42713</v>
      </c>
      <c r="C736" s="497">
        <v>500</v>
      </c>
      <c r="D736" s="498">
        <v>18.12</v>
      </c>
      <c r="E736" s="499">
        <v>0</v>
      </c>
      <c r="F736" s="499">
        <f t="shared" si="208"/>
        <v>9060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42718</v>
      </c>
      <c r="C737" s="497">
        <v>200</v>
      </c>
      <c r="D737" s="498">
        <v>18.73</v>
      </c>
      <c r="E737" s="499">
        <v>-1</v>
      </c>
      <c r="F737" s="499">
        <f t="shared" si="208"/>
        <v>3745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>
        <v>42733</v>
      </c>
      <c r="C738" s="497">
        <v>1000</v>
      </c>
      <c r="D738" s="498">
        <v>17.64</v>
      </c>
      <c r="E738" s="499">
        <v>-1.5</v>
      </c>
      <c r="F738" s="499">
        <f t="shared" si="208"/>
        <v>17638.5</v>
      </c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>
        <v>42734</v>
      </c>
      <c r="C739" s="497">
        <v>1000</v>
      </c>
      <c r="D739" s="498">
        <v>17.329999999999998</v>
      </c>
      <c r="E739" s="499">
        <v>0</v>
      </c>
      <c r="F739" s="499">
        <f t="shared" si="208"/>
        <v>17330</v>
      </c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497"/>
      <c r="B740" s="545">
        <v>42741</v>
      </c>
      <c r="C740" s="497">
        <v>500</v>
      </c>
      <c r="D740" s="498">
        <v>17.88</v>
      </c>
      <c r="E740" s="499">
        <v>0</v>
      </c>
      <c r="F740" s="499">
        <f t="shared" si="208"/>
        <v>8940</v>
      </c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497"/>
      <c r="B741" s="545">
        <v>42748</v>
      </c>
      <c r="C741" s="497">
        <v>500</v>
      </c>
      <c r="D741" s="498">
        <v>17.260000000000002</v>
      </c>
      <c r="E741" s="499">
        <v>0</v>
      </c>
      <c r="F741" s="499">
        <f t="shared" si="208"/>
        <v>8630</v>
      </c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497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497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599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599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599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599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515" t="s">
        <v>81</v>
      </c>
      <c r="B765" s="604"/>
      <c r="C765" s="538">
        <f>SUM(C504:C764)</f>
        <v>133812</v>
      </c>
      <c r="D765" s="517"/>
      <c r="E765" s="517"/>
      <c r="F765" s="517">
        <f>SUM(F504:F764)</f>
        <v>1899450.8389999999</v>
      </c>
      <c r="G765" s="516"/>
      <c r="H765" s="538">
        <f>SUM(H504:H764)</f>
        <v>133812</v>
      </c>
      <c r="I765" s="605"/>
      <c r="J765" s="517"/>
      <c r="K765" s="517">
        <f>SUM(K504:K764)</f>
        <v>1911314.2100000016</v>
      </c>
      <c r="L765" s="516"/>
      <c r="M765" s="517">
        <f>SUM(M504:M514)</f>
        <v>2752.2000000000003</v>
      </c>
    </row>
    <row r="766" spans="1:13" ht="15.75" thickBot="1" x14ac:dyDescent="0.3">
      <c r="A766" s="518" t="s">
        <v>193</v>
      </c>
      <c r="B766" s="606"/>
      <c r="C766" s="520">
        <f>SumByColor($A$91, C504:C764)</f>
        <v>0</v>
      </c>
      <c r="D766" s="520"/>
      <c r="E766" s="520"/>
      <c r="F766" s="521">
        <f>SumByColor($A$91, F504:F764)</f>
        <v>0</v>
      </c>
      <c r="G766" s="520"/>
      <c r="H766" s="520">
        <f>SumByColor($A$91, H504:H764)</f>
        <v>0</v>
      </c>
      <c r="I766" s="520"/>
      <c r="J766" s="521"/>
      <c r="K766" s="521">
        <f>SumByColor($A$91, K504:K764)</f>
        <v>0</v>
      </c>
      <c r="L766" s="520"/>
      <c r="M766" s="521">
        <f>SumByColor($A$91, M504:M764)</f>
        <v>0</v>
      </c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</sheetData>
  <mergeCells count="2">
    <mergeCell ref="O23:P23"/>
    <mergeCell ref="A80:A82"/>
  </mergeCells>
  <conditionalFormatting sqref="F250:F268 H250:H268 H403 F403 H474:H498 F474:F498 K103:K201 F113:F202 H113:H202 K210 K239:K240 H239:H240 F239:F240">
    <cfRule type="expression" dxfId="2102" priority="145">
      <formula>F103&gt;0</formula>
    </cfRule>
    <cfRule type="expression" dxfId="2101" priority="146">
      <formula>F103&lt;0</formula>
    </cfRule>
  </conditionalFormatting>
  <conditionalFormatting sqref="O24:O61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0">
      <iconSet iconSet="3Arrows">
        <cfvo type="percent" val="0"/>
        <cfvo type="num" val="0"/>
        <cfvo type="num" val="0"/>
      </iconSet>
    </cfRule>
  </conditionalFormatting>
  <conditionalFormatting sqref="F243:F249">
    <cfRule type="expression" dxfId="2100" priority="138">
      <formula>F243&gt;0</formula>
    </cfRule>
    <cfRule type="expression" dxfId="2099" priority="139">
      <formula>F243&lt;0</formula>
    </cfRule>
  </conditionalFormatting>
  <conditionalFormatting sqref="H243:H249">
    <cfRule type="expression" dxfId="2098" priority="134">
      <formula>H243&gt;0</formula>
    </cfRule>
    <cfRule type="expression" dxfId="2097" priority="135">
      <formula>H243&lt;0</formula>
    </cfRule>
  </conditionalFormatting>
  <conditionalFormatting sqref="Q8">
    <cfRule type="expression" dxfId="2096" priority="120">
      <formula>Q8&gt;0</formula>
    </cfRule>
    <cfRule type="expression" dxfId="2095" priority="121">
      <formula>Q8&lt;0</formula>
    </cfRule>
  </conditionalFormatting>
  <conditionalFormatting sqref="Q7">
    <cfRule type="expression" dxfId="2094" priority="122">
      <formula>Q7&gt;0</formula>
    </cfRule>
    <cfRule type="expression" dxfId="2093" priority="123">
      <formula>Q7&lt;0</formula>
    </cfRule>
  </conditionalFormatting>
  <conditionalFormatting sqref="F351:F357">
    <cfRule type="expression" dxfId="2092" priority="94">
      <formula>F351&gt;0</formula>
    </cfRule>
    <cfRule type="expression" dxfId="2091" priority="95">
      <formula>F351&lt;0</formula>
    </cfRule>
  </conditionalFormatting>
  <conditionalFormatting sqref="F276:F294 H276:H294">
    <cfRule type="expression" dxfId="2090" priority="116">
      <formula>F276&gt;0</formula>
    </cfRule>
    <cfRule type="expression" dxfId="2089" priority="117">
      <formula>F276&lt;0</formula>
    </cfRule>
  </conditionalFormatting>
  <conditionalFormatting sqref="F269:F275">
    <cfRule type="expression" dxfId="2088" priority="114">
      <formula>F269&gt;0</formula>
    </cfRule>
    <cfRule type="expression" dxfId="2087" priority="115">
      <formula>F269&lt;0</formula>
    </cfRule>
  </conditionalFormatting>
  <conditionalFormatting sqref="H269:H275">
    <cfRule type="expression" dxfId="2086" priority="112">
      <formula>H269&gt;0</formula>
    </cfRule>
    <cfRule type="expression" dxfId="2085" priority="113">
      <formula>H269&lt;0</formula>
    </cfRule>
  </conditionalFormatting>
  <conditionalFormatting sqref="F302:F320 H302:H320">
    <cfRule type="expression" dxfId="2084" priority="110">
      <formula>F302&gt;0</formula>
    </cfRule>
    <cfRule type="expression" dxfId="2083" priority="111">
      <formula>F302&lt;0</formula>
    </cfRule>
  </conditionalFormatting>
  <conditionalFormatting sqref="F295:F301">
    <cfRule type="expression" dxfId="2082" priority="108">
      <formula>F295&gt;0</formula>
    </cfRule>
    <cfRule type="expression" dxfId="2081" priority="109">
      <formula>F295&lt;0</formula>
    </cfRule>
  </conditionalFormatting>
  <conditionalFormatting sqref="H295:H301">
    <cfRule type="expression" dxfId="2080" priority="106">
      <formula>H295&gt;0</formula>
    </cfRule>
    <cfRule type="expression" dxfId="2079" priority="107">
      <formula>H295&lt;0</formula>
    </cfRule>
  </conditionalFormatting>
  <conditionalFormatting sqref="F328:F345 H328:H345">
    <cfRule type="expression" dxfId="2078" priority="104">
      <formula>F328&gt;0</formula>
    </cfRule>
    <cfRule type="expression" dxfId="2077" priority="105">
      <formula>F328&lt;0</formula>
    </cfRule>
  </conditionalFormatting>
  <conditionalFormatting sqref="F321:F327">
    <cfRule type="expression" dxfId="2076" priority="102">
      <formula>F321&gt;0</formula>
    </cfRule>
    <cfRule type="expression" dxfId="2075" priority="103">
      <formula>F321&lt;0</formula>
    </cfRule>
  </conditionalFormatting>
  <conditionalFormatting sqref="H321:H327">
    <cfRule type="expression" dxfId="2074" priority="100">
      <formula>H321&gt;0</formula>
    </cfRule>
    <cfRule type="expression" dxfId="2073" priority="101">
      <formula>H321&lt;0</formula>
    </cfRule>
  </conditionalFormatting>
  <conditionalFormatting sqref="F346:F350 H346:H350">
    <cfRule type="expression" dxfId="2072" priority="98">
      <formula>F346&gt;0</formula>
    </cfRule>
    <cfRule type="expression" dxfId="2071" priority="99">
      <formula>F346&lt;0</formula>
    </cfRule>
  </conditionalFormatting>
  <conditionalFormatting sqref="F358:F373 H358:H373">
    <cfRule type="expression" dxfId="2070" priority="96">
      <formula>F358&gt;0</formula>
    </cfRule>
    <cfRule type="expression" dxfId="2069" priority="97">
      <formula>F358&lt;0</formula>
    </cfRule>
  </conditionalFormatting>
  <conditionalFormatting sqref="H351:H357">
    <cfRule type="expression" dxfId="2068" priority="92">
      <formula>H351&gt;0</formula>
    </cfRule>
    <cfRule type="expression" dxfId="2067" priority="93">
      <formula>H351&lt;0</formula>
    </cfRule>
  </conditionalFormatting>
  <conditionalFormatting sqref="F374 H374">
    <cfRule type="expression" dxfId="2066" priority="90">
      <formula>F374&gt;0</formula>
    </cfRule>
    <cfRule type="expression" dxfId="2065" priority="91">
      <formula>F374&lt;0</formula>
    </cfRule>
  </conditionalFormatting>
  <conditionalFormatting sqref="F375:F379 H375:H379">
    <cfRule type="expression" dxfId="2064" priority="88">
      <formula>F375&gt;0</formula>
    </cfRule>
    <cfRule type="expression" dxfId="2063" priority="89">
      <formula>F375&lt;0</formula>
    </cfRule>
  </conditionalFormatting>
  <conditionalFormatting sqref="F387:F402 H387:H402">
    <cfRule type="expression" dxfId="2062" priority="86">
      <formula>F387&gt;0</formula>
    </cfRule>
    <cfRule type="expression" dxfId="2061" priority="87">
      <formula>F387&lt;0</formula>
    </cfRule>
  </conditionalFormatting>
  <conditionalFormatting sqref="F380:F386">
    <cfRule type="expression" dxfId="2060" priority="84">
      <formula>F380&gt;0</formula>
    </cfRule>
    <cfRule type="expression" dxfId="2059" priority="85">
      <formula>F380&lt;0</formula>
    </cfRule>
  </conditionalFormatting>
  <conditionalFormatting sqref="H380:H386">
    <cfRule type="expression" dxfId="2058" priority="82">
      <formula>H380&gt;0</formula>
    </cfRule>
    <cfRule type="expression" dxfId="2057" priority="83">
      <formula>H380&lt;0</formula>
    </cfRule>
  </conditionalFormatting>
  <conditionalFormatting sqref="F404:F409 H404:H409">
    <cfRule type="expression" dxfId="2056" priority="80">
      <formula>F404&gt;0</formula>
    </cfRule>
    <cfRule type="expression" dxfId="2055" priority="81">
      <formula>F404&lt;0</formula>
    </cfRule>
  </conditionalFormatting>
  <conditionalFormatting sqref="F410 H410">
    <cfRule type="expression" dxfId="2054" priority="78">
      <formula>F410&gt;0</formula>
    </cfRule>
    <cfRule type="expression" dxfId="2053" priority="79">
      <formula>F410&lt;0</formula>
    </cfRule>
  </conditionalFormatting>
  <conditionalFormatting sqref="F411:F415 H411:H415">
    <cfRule type="expression" dxfId="2052" priority="76">
      <formula>F411&gt;0</formula>
    </cfRule>
    <cfRule type="expression" dxfId="2051" priority="77">
      <formula>F411&lt;0</formula>
    </cfRule>
  </conditionalFormatting>
  <conditionalFormatting sqref="F423:F438 H423:H438">
    <cfRule type="expression" dxfId="2050" priority="74">
      <formula>F423&gt;0</formula>
    </cfRule>
    <cfRule type="expression" dxfId="2049" priority="75">
      <formula>F423&lt;0</formula>
    </cfRule>
  </conditionalFormatting>
  <conditionalFormatting sqref="F416:F422">
    <cfRule type="expression" dxfId="2048" priority="72">
      <formula>F416&gt;0</formula>
    </cfRule>
    <cfRule type="expression" dxfId="2047" priority="73">
      <formula>F416&lt;0</formula>
    </cfRule>
  </conditionalFormatting>
  <conditionalFormatting sqref="H416:H422">
    <cfRule type="expression" dxfId="2046" priority="70">
      <formula>H416&gt;0</formula>
    </cfRule>
    <cfRule type="expression" dxfId="2045" priority="71">
      <formula>H416&lt;0</formula>
    </cfRule>
  </conditionalFormatting>
  <conditionalFormatting sqref="F439:F444 H439:H444">
    <cfRule type="expression" dxfId="2044" priority="68">
      <formula>F439&gt;0</formula>
    </cfRule>
    <cfRule type="expression" dxfId="2043" priority="69">
      <formula>F439&lt;0</formula>
    </cfRule>
  </conditionalFormatting>
  <conditionalFormatting sqref="F445 H445">
    <cfRule type="expression" dxfId="2042" priority="66">
      <formula>F445&gt;0</formula>
    </cfRule>
    <cfRule type="expression" dxfId="2041" priority="67">
      <formula>F445&lt;0</formula>
    </cfRule>
  </conditionalFormatting>
  <conditionalFormatting sqref="F446:F450 H446:H450">
    <cfRule type="expression" dxfId="2040" priority="64">
      <formula>F446&gt;0</formula>
    </cfRule>
    <cfRule type="expression" dxfId="2039" priority="65">
      <formula>F446&lt;0</formula>
    </cfRule>
  </conditionalFormatting>
  <conditionalFormatting sqref="F458:F473 H458:H473">
    <cfRule type="expression" dxfId="2038" priority="62">
      <formula>F458&gt;0</formula>
    </cfRule>
    <cfRule type="expression" dxfId="2037" priority="63">
      <formula>F458&lt;0</formula>
    </cfRule>
  </conditionalFormatting>
  <conditionalFormatting sqref="F451:F457">
    <cfRule type="expression" dxfId="2036" priority="60">
      <formula>F451&gt;0</formula>
    </cfRule>
    <cfRule type="expression" dxfId="2035" priority="61">
      <formula>F451&lt;0</formula>
    </cfRule>
  </conditionalFormatting>
  <conditionalFormatting sqref="H451:H457">
    <cfRule type="expression" dxfId="2034" priority="58">
      <formula>H451&gt;0</formula>
    </cfRule>
    <cfRule type="expression" dxfId="2033" priority="59">
      <formula>H451&lt;0</formula>
    </cfRule>
  </conditionalFormatting>
  <conditionalFormatting sqref="M502">
    <cfRule type="expression" dxfId="2032" priority="56">
      <formula>M502&gt;0</formula>
    </cfRule>
    <cfRule type="expression" dxfId="2031" priority="57">
      <formula>M502&lt;0</formula>
    </cfRule>
  </conditionalFormatting>
  <conditionalFormatting sqref="F101:F112">
    <cfRule type="expression" dxfId="2030" priority="52">
      <formula>F101&gt;0</formula>
    </cfRule>
    <cfRule type="expression" dxfId="2029" priority="53">
      <formula>F101&lt;0</formula>
    </cfRule>
  </conditionalFormatting>
  <conditionalFormatting sqref="H101:H112">
    <cfRule type="expression" dxfId="2028" priority="50">
      <formula>H101&gt;0</formula>
    </cfRule>
    <cfRule type="expression" dxfId="2027" priority="51">
      <formula>H101&lt;0</formula>
    </cfRule>
  </conditionalFormatting>
  <conditionalFormatting sqref="F95:F100 H95:H100">
    <cfRule type="expression" dxfId="2026" priority="48">
      <formula>F95&gt;0</formula>
    </cfRule>
    <cfRule type="expression" dxfId="2025" priority="49">
      <formula>F95&lt;0</formula>
    </cfRule>
  </conditionalFormatting>
  <conditionalFormatting sqref="J97:K97">
    <cfRule type="expression" dxfId="2024" priority="46">
      <formula>J97&gt;0</formula>
    </cfRule>
    <cfRule type="expression" dxfId="2023" priority="47">
      <formula>J97&lt;0</formula>
    </cfRule>
  </conditionalFormatting>
  <conditionalFormatting sqref="J98:K104">
    <cfRule type="expression" dxfId="2022" priority="44">
      <formula>J98&gt;0</formula>
    </cfRule>
    <cfRule type="expression" dxfId="2021" priority="45">
      <formula>J98&lt;0</formula>
    </cfRule>
  </conditionalFormatting>
  <conditionalFormatting sqref="L97:L179 L186 L188">
    <cfRule type="expression" dxfId="2020" priority="40">
      <formula>L97&gt;0</formula>
    </cfRule>
    <cfRule type="expression" dxfId="2019" priority="41">
      <formula>L97&lt;0</formula>
    </cfRule>
  </conditionalFormatting>
  <conditionalFormatting sqref="Q10">
    <cfRule type="expression" dxfId="2018" priority="38">
      <formula>Q10&gt;0</formula>
    </cfRule>
    <cfRule type="expression" dxfId="2017" priority="39">
      <formula>Q10&lt;0</formula>
    </cfRule>
  </conditionalFormatting>
  <conditionalFormatting sqref="K208:K209 H208:H210 F208:F210">
    <cfRule type="expression" dxfId="2016" priority="35">
      <formula>F208&gt;0</formula>
    </cfRule>
    <cfRule type="expression" dxfId="2015" priority="36">
      <formula>F208&lt;0</formula>
    </cfRule>
  </conditionalFormatting>
  <conditionalFormatting sqref="K204:K206 H204:H206 F204:F206">
    <cfRule type="expression" dxfId="2014" priority="33">
      <formula>F204&gt;0</formula>
    </cfRule>
    <cfRule type="expression" dxfId="2013" priority="34">
      <formula>F204&lt;0</formula>
    </cfRule>
  </conditionalFormatting>
  <conditionalFormatting sqref="K202:K203 H203 F203">
    <cfRule type="expression" dxfId="2012" priority="31">
      <formula>F202&gt;0</formula>
    </cfRule>
    <cfRule type="expression" dxfId="2011" priority="32">
      <formula>F202&lt;0</formula>
    </cfRule>
  </conditionalFormatting>
  <conditionalFormatting sqref="K207 H207 F207">
    <cfRule type="expression" dxfId="2010" priority="29">
      <formula>F207&gt;0</formula>
    </cfRule>
    <cfRule type="expression" dxfId="2009" priority="30">
      <formula>F207&lt;0</formula>
    </cfRule>
  </conditionalFormatting>
  <conditionalFormatting sqref="K215:K216">
    <cfRule type="expression" dxfId="2008" priority="27">
      <formula>K215&gt;0</formula>
    </cfRule>
    <cfRule type="expression" dxfId="2007" priority="28">
      <formula>K215&lt;0</formula>
    </cfRule>
  </conditionalFormatting>
  <conditionalFormatting sqref="K213:K214 H213:H216 F213:F216">
    <cfRule type="expression" dxfId="2006" priority="25">
      <formula>F213&gt;0</formula>
    </cfRule>
    <cfRule type="expression" dxfId="2005" priority="26">
      <formula>F213&lt;0</formula>
    </cfRule>
  </conditionalFormatting>
  <conditionalFormatting sqref="H211:H212 F211:F212 K211:K212">
    <cfRule type="expression" dxfId="2004" priority="23">
      <formula>F211&gt;0</formula>
    </cfRule>
    <cfRule type="expression" dxfId="2003" priority="24">
      <formula>F211&lt;0</formula>
    </cfRule>
  </conditionalFormatting>
  <conditionalFormatting sqref="K237:K238 H238 F238">
    <cfRule type="expression" dxfId="2002" priority="21">
      <formula>F237&gt;0</formula>
    </cfRule>
    <cfRule type="expression" dxfId="2001" priority="22">
      <formula>F237&lt;0</formula>
    </cfRule>
  </conditionalFormatting>
  <conditionalFormatting sqref="K219:K220 H219:H221 F219:F221">
    <cfRule type="expression" dxfId="2000" priority="19">
      <formula>F219&gt;0</formula>
    </cfRule>
    <cfRule type="expression" dxfId="1999" priority="20">
      <formula>F219&lt;0</formula>
    </cfRule>
  </conditionalFormatting>
  <conditionalFormatting sqref="K217:K218 H217:H218 F217:F218">
    <cfRule type="expression" dxfId="1998" priority="17">
      <formula>F217&gt;0</formula>
    </cfRule>
    <cfRule type="expression" dxfId="1997" priority="18">
      <formula>F217&lt;0</formula>
    </cfRule>
  </conditionalFormatting>
  <conditionalFormatting sqref="K231:K232 H231:H233 F231:F233">
    <cfRule type="expression" dxfId="1996" priority="15">
      <formula>F231&gt;0</formula>
    </cfRule>
    <cfRule type="expression" dxfId="1995" priority="16">
      <formula>F231&lt;0</formula>
    </cfRule>
  </conditionalFormatting>
  <conditionalFormatting sqref="K229:K230 H230 F230">
    <cfRule type="expression" dxfId="1994" priority="13">
      <formula>F229&gt;0</formula>
    </cfRule>
    <cfRule type="expression" dxfId="1993" priority="14">
      <formula>F229&lt;0</formula>
    </cfRule>
  </conditionalFormatting>
  <conditionalFormatting sqref="K227:K228 H227:H229 F227:F229">
    <cfRule type="expression" dxfId="1992" priority="11">
      <formula>F227&gt;0</formula>
    </cfRule>
    <cfRule type="expression" dxfId="1991" priority="12">
      <formula>F227&lt;0</formula>
    </cfRule>
  </conditionalFormatting>
  <conditionalFormatting sqref="K225:K226 H226 F226">
    <cfRule type="expression" dxfId="1990" priority="9">
      <formula>F225&gt;0</formula>
    </cfRule>
    <cfRule type="expression" dxfId="1989" priority="10">
      <formula>F225&lt;0</formula>
    </cfRule>
  </conditionalFormatting>
  <conditionalFormatting sqref="K223:K224 H223:H225 F223:F225">
    <cfRule type="expression" dxfId="1988" priority="7">
      <formula>F223&gt;0</formula>
    </cfRule>
    <cfRule type="expression" dxfId="1987" priority="8">
      <formula>F223&lt;0</formula>
    </cfRule>
  </conditionalFormatting>
  <conditionalFormatting sqref="K221:K222 H222 F222">
    <cfRule type="expression" dxfId="1986" priority="5">
      <formula>F221&gt;0</formula>
    </cfRule>
    <cfRule type="expression" dxfId="1985" priority="6">
      <formula>F221&lt;0</formula>
    </cfRule>
  </conditionalFormatting>
  <conditionalFormatting sqref="K235:K236 H235:H237 F235:F237">
    <cfRule type="expression" dxfId="1984" priority="3">
      <formula>F235&gt;0</formula>
    </cfRule>
    <cfRule type="expression" dxfId="1983" priority="4">
      <formula>F235&lt;0</formula>
    </cfRule>
  </conditionalFormatting>
  <conditionalFormatting sqref="K233:K234 H234 F234">
    <cfRule type="expression" dxfId="1982" priority="1">
      <formula>F233&gt;0</formula>
    </cfRule>
    <cfRule type="expression" dxfId="1981" priority="2">
      <formula>F233&lt;0</formula>
    </cfRule>
  </conditionalFormatting>
  <hyperlinks>
    <hyperlink ref="A3" location="ACTIVE!A1" display="Back"/>
    <hyperlink ref="A50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781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842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192</v>
      </c>
      <c r="AJ2">
        <f>$Q$2*$Q$4</f>
        <v>4155</v>
      </c>
      <c r="AK2">
        <f ca="1">AJ2*EXP(-$X$2 * AI2/365.25)</f>
        <v>4155</v>
      </c>
      <c r="AM2" s="2">
        <f>Q10</f>
        <v>0</v>
      </c>
      <c r="AO2">
        <f ca="1" xml:space="preserve"> (SUM(AB:AB) - SUM(AE:AE) - SUM(AH:AH) - SUM(AK:AK))/SUM(AB:AB)</f>
        <v>4.8224624686171065E-2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15.418666666666669</v>
      </c>
      <c r="T3" s="1"/>
      <c r="U3" t="s">
        <v>843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13.85</v>
      </c>
      <c r="R4" s="495">
        <v>4.4999999999999997E-3</v>
      </c>
      <c r="T4" s="156"/>
      <c r="U4" s="1" t="s">
        <v>889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4155</v>
      </c>
      <c r="T5" s="1">
        <v>43112</v>
      </c>
      <c r="U5" t="s">
        <v>887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4625.6000000000004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-470.60000000000036</v>
      </c>
      <c r="R7">
        <v>200</v>
      </c>
      <c r="T7" s="1">
        <v>43117</v>
      </c>
      <c r="U7" t="s">
        <v>894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-470.60000000000036</v>
      </c>
      <c r="U8" t="s">
        <v>895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-0.10173815288827402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207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3.4657039711191336E-2</v>
      </c>
      <c r="R11">
        <f>0.12</f>
        <v>0.12</v>
      </c>
      <c r="T11" s="817">
        <v>43124</v>
      </c>
      <c r="U11" t="s">
        <v>888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973</v>
      </c>
      <c r="Q13">
        <f>Q4/0.95</f>
        <v>14.578947368421053</v>
      </c>
      <c r="T13" s="1">
        <v>43210</v>
      </c>
      <c r="U13" t="s">
        <v>1009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1111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1115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15.235000000000001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15.096500000000001</v>
      </c>
      <c r="W22" s="134"/>
    </row>
    <row r="23" spans="1:34" x14ac:dyDescent="0.25">
      <c r="O23" s="81">
        <v>1.08</v>
      </c>
      <c r="P23" s="81">
        <f t="shared" si="10"/>
        <v>14.958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1.07</v>
      </c>
      <c r="P24" s="81">
        <f t="shared" si="10"/>
        <v>14.8195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14.681000000000001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14.5425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14.404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14.265499999999999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14.127000000000001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13.9885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13.85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13.711499999999999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8" si="29">C33*(E33-D33)</f>
        <v>-920.00000000000023</v>
      </c>
      <c r="G33" s="39">
        <f t="shared" ref="G33:G38" si="30">D33*C33</f>
        <v>6296</v>
      </c>
      <c r="H33" s="222">
        <f t="shared" ref="H33:H38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13.572999999999999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13.4345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13.295999999999999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13.157499999999999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13.018999999999998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29"/>
        <v>-485.60999999999962</v>
      </c>
      <c r="G38" s="39">
        <f t="shared" si="30"/>
        <v>4625.6099999999997</v>
      </c>
      <c r="H38" s="222">
        <f t="shared" si="31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12.8805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12.742000000000001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12.6035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12.465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80" priority="25">
      <formula>F47&gt;0</formula>
    </cfRule>
    <cfRule type="expression" dxfId="1979" priority="26">
      <formula>F47&lt;0</formula>
    </cfRule>
  </conditionalFormatting>
  <conditionalFormatting sqref="Q7">
    <cfRule type="expression" dxfId="1978" priority="23">
      <formula>Q7&gt;0</formula>
    </cfRule>
    <cfRule type="expression" dxfId="1977" priority="24">
      <formula>Q7&lt;0</formula>
    </cfRule>
  </conditionalFormatting>
  <conditionalFormatting sqref="Q8">
    <cfRule type="expression" dxfId="1976" priority="21">
      <formula>Q8&gt;0</formula>
    </cfRule>
    <cfRule type="expression" dxfId="1975" priority="22">
      <formula>Q8&lt;0</formula>
    </cfRule>
  </conditionalFormatting>
  <conditionalFormatting sqref="F25:F30 F34:F46">
    <cfRule type="expression" dxfId="1974" priority="19">
      <formula>F25&gt;0</formula>
    </cfRule>
    <cfRule type="expression" dxfId="1973" priority="20">
      <formula>F25&lt;0</formula>
    </cfRule>
  </conditionalFormatting>
  <conditionalFormatting sqref="H25:H30 H34:H46">
    <cfRule type="expression" dxfId="1972" priority="17">
      <formula>H25&gt;0</formula>
    </cfRule>
    <cfRule type="expression" dxfId="1971" priority="18">
      <formula>H25&lt;0</formula>
    </cfRule>
  </conditionalFormatting>
  <conditionalFormatting sqref="F89:F110">
    <cfRule type="expression" dxfId="1970" priority="15">
      <formula>F89&gt;0</formula>
    </cfRule>
    <cfRule type="expression" dxfId="1969" priority="16">
      <formula>F89&lt;0</formula>
    </cfRule>
  </conditionalFormatting>
  <conditionalFormatting sqref="H89:H110">
    <cfRule type="expression" dxfId="1968" priority="13">
      <formula>H89&gt;0</formula>
    </cfRule>
    <cfRule type="expression" dxfId="1967" priority="14">
      <formula>H89&lt;0</formula>
    </cfRule>
  </conditionalFormatting>
  <conditionalFormatting sqref="Q10">
    <cfRule type="expression" dxfId="1966" priority="11">
      <formula>Q10&gt;0</formula>
    </cfRule>
    <cfRule type="expression" dxfId="1965" priority="12">
      <formula>Q10&lt;0</formula>
    </cfRule>
  </conditionalFormatting>
  <conditionalFormatting sqref="J25:J38">
    <cfRule type="expression" dxfId="1964" priority="9">
      <formula>J25&gt;0</formula>
    </cfRule>
    <cfRule type="expression" dxfId="1963" priority="10">
      <formula>J25&lt;0</formula>
    </cfRule>
  </conditionalFormatting>
  <conditionalFormatting sqref="K25:K38">
    <cfRule type="expression" dxfId="1962" priority="7">
      <formula>K25&gt;0</formula>
    </cfRule>
    <cfRule type="expression" dxfId="1961" priority="8">
      <formula>K25&lt;0</formula>
    </cfRule>
  </conditionalFormatting>
  <conditionalFormatting sqref="L25:L38">
    <cfRule type="expression" dxfId="1960" priority="5">
      <formula>L25&gt;0</formula>
    </cfRule>
    <cfRule type="expression" dxfId="195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58" priority="3">
      <formula>F31&gt;0</formula>
    </cfRule>
    <cfRule type="expression" dxfId="1957" priority="4">
      <formula>F31&lt;0</formula>
    </cfRule>
  </conditionalFormatting>
  <conditionalFormatting sqref="H31:H33">
    <cfRule type="expression" dxfId="1956" priority="1">
      <formula>H31&gt;0</formula>
    </cfRule>
    <cfRule type="expression" dxfId="195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45.38</v>
      </c>
      <c r="R4" s="495">
        <v>8.5000000000000006E-3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9076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-803.25</v>
      </c>
      <c r="R7">
        <v>200</v>
      </c>
      <c r="U7" t="s">
        <v>1070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-803.25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-8.1306779360781442E-2</v>
      </c>
      <c r="T9" s="770">
        <v>43285</v>
      </c>
      <c r="U9" t="s">
        <v>1171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973</v>
      </c>
      <c r="Q13">
        <f>Q4/2.6</f>
        <v>17.453846153846154</v>
      </c>
    </row>
    <row r="14" spans="1:21" x14ac:dyDescent="0.25">
      <c r="H14" s="70"/>
      <c r="O14" s="11" t="s">
        <v>1062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49.918000000000006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1">O24*$Q$4</f>
        <v>49.464200000000005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49.010400000000004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48.556600000000003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48.102800000000002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47.649000000000008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47.195200000000007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5" si="14">C30*(E30-D30)</f>
        <v>-347.24999999999966</v>
      </c>
      <c r="G30" s="39">
        <f t="shared" ref="G30:G35" si="15">D30*C30</f>
        <v>5271.25</v>
      </c>
      <c r="H30" s="222">
        <f t="shared" ref="H30:H35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46.741400000000006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46.287600000000005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45.833800000000004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45.38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44.926200000000001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4"/>
        <v>-1087.2599999999991</v>
      </c>
      <c r="G35" s="39">
        <f t="shared" si="15"/>
        <v>9879.2599999999984</v>
      </c>
      <c r="H35" s="222">
        <f t="shared" si="16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44.4724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44.018599999999999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43.564799999999998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43.110999999999997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42.657200000000003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42.203400000000002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41.749600000000001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41.295800000000007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40.842000000000006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4" priority="31">
      <formula>F47&gt;0</formula>
    </cfRule>
    <cfRule type="expression" dxfId="1953" priority="32">
      <formula>F47&lt;0</formula>
    </cfRule>
  </conditionalFormatting>
  <conditionalFormatting sqref="Q7">
    <cfRule type="expression" dxfId="1952" priority="29">
      <formula>Q7&gt;0</formula>
    </cfRule>
    <cfRule type="expression" dxfId="1951" priority="30">
      <formula>Q7&lt;0</formula>
    </cfRule>
  </conditionalFormatting>
  <conditionalFormatting sqref="Q8">
    <cfRule type="expression" dxfId="1950" priority="27">
      <formula>Q8&gt;0</formula>
    </cfRule>
    <cfRule type="expression" dxfId="1949" priority="28">
      <formula>Q8&lt;0</formula>
    </cfRule>
  </conditionalFormatting>
  <conditionalFormatting sqref="F31:F46">
    <cfRule type="expression" dxfId="1948" priority="25">
      <formula>F31&gt;0</formula>
    </cfRule>
    <cfRule type="expression" dxfId="1947" priority="26">
      <formula>F31&lt;0</formula>
    </cfRule>
  </conditionalFormatting>
  <conditionalFormatting sqref="H31:H46">
    <cfRule type="expression" dxfId="1946" priority="23">
      <formula>H31&gt;0</formula>
    </cfRule>
    <cfRule type="expression" dxfId="1945" priority="24">
      <formula>H31&lt;0</formula>
    </cfRule>
  </conditionalFormatting>
  <conditionalFormatting sqref="Q10">
    <cfRule type="expression" dxfId="1944" priority="21">
      <formula>Q10&gt;0</formula>
    </cfRule>
    <cfRule type="expression" dxfId="1943" priority="22">
      <formula>Q10&lt;0</formula>
    </cfRule>
  </conditionalFormatting>
  <conditionalFormatting sqref="J25:J38">
    <cfRule type="expression" dxfId="1942" priority="19">
      <formula>J25&gt;0</formula>
    </cfRule>
    <cfRule type="expression" dxfId="1941" priority="20">
      <formula>J25&lt;0</formula>
    </cfRule>
  </conditionalFormatting>
  <conditionalFormatting sqref="K36:K38">
    <cfRule type="expression" dxfId="1940" priority="17">
      <formula>K36&gt;0</formula>
    </cfRule>
    <cfRule type="expression" dxfId="1939" priority="18">
      <formula>K36&lt;0</formula>
    </cfRule>
  </conditionalFormatting>
  <conditionalFormatting sqref="L25:L38">
    <cfRule type="expression" dxfId="1938" priority="15">
      <formula>L25&gt;0</formula>
    </cfRule>
    <cfRule type="expression" dxfId="1937" priority="16">
      <formula>L25&lt;0</formula>
    </cfRule>
  </conditionalFormatting>
  <conditionalFormatting sqref="F89:F110">
    <cfRule type="expression" dxfId="1936" priority="13">
      <formula>F89&gt;0</formula>
    </cfRule>
    <cfRule type="expression" dxfId="1935" priority="14">
      <formula>F89&lt;0</formula>
    </cfRule>
  </conditionalFormatting>
  <conditionalFormatting sqref="H89:H110">
    <cfRule type="expression" dxfId="1934" priority="11">
      <formula>H89&gt;0</formula>
    </cfRule>
    <cfRule type="expression" dxfId="1933" priority="12">
      <formula>H89&lt;0</formula>
    </cfRule>
  </conditionalFormatting>
  <conditionalFormatting sqref="J89:J102">
    <cfRule type="expression" dxfId="1932" priority="9">
      <formula>J89&gt;0</formula>
    </cfRule>
    <cfRule type="expression" dxfId="1931" priority="10">
      <formula>J89&lt;0</formula>
    </cfRule>
  </conditionalFormatting>
  <conditionalFormatting sqref="K89:K102">
    <cfRule type="expression" dxfId="1930" priority="7">
      <formula>K89&gt;0</formula>
    </cfRule>
    <cfRule type="expression" dxfId="1929" priority="8">
      <formula>K89&lt;0</formula>
    </cfRule>
  </conditionalFormatting>
  <conditionalFormatting sqref="L89:L102">
    <cfRule type="expression" dxfId="1928" priority="5">
      <formula>L89&gt;0</formula>
    </cfRule>
    <cfRule type="expression" dxfId="1927" priority="6">
      <formula>L89&lt;0</formula>
    </cfRule>
  </conditionalFormatting>
  <conditionalFormatting sqref="F25:F30">
    <cfRule type="expression" dxfId="1926" priority="3">
      <formula>F25&gt;0</formula>
    </cfRule>
    <cfRule type="expression" dxfId="1925" priority="4">
      <formula>F25&lt;0</formula>
    </cfRule>
  </conditionalFormatting>
  <conditionalFormatting sqref="H25:H30">
    <cfRule type="expression" dxfId="1924" priority="1">
      <formula>H25&gt;0</formula>
    </cfRule>
    <cfRule type="expression" dxfId="19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1044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1045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1079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52.22</v>
      </c>
      <c r="R4" s="495">
        <v>1.38E-2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5222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417.51000000000022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417.51000000000022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8.6899962326906749E-2</v>
      </c>
      <c r="T9" s="156"/>
      <c r="U9" t="s">
        <v>1078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2.8724626579854463E-2</v>
      </c>
      <c r="R11">
        <v>1.5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57.442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56.919800000000002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56.397600000000004</v>
      </c>
    </row>
    <row r="20" spans="1:21" x14ac:dyDescent="0.25">
      <c r="O20" s="81">
        <v>1.07</v>
      </c>
      <c r="P20" s="81">
        <f t="shared" si="2"/>
        <v>55.875399999999999</v>
      </c>
    </row>
    <row r="21" spans="1:21" x14ac:dyDescent="0.25">
      <c r="O21" s="81">
        <v>1.06</v>
      </c>
      <c r="P21" s="81">
        <f t="shared" si="2"/>
        <v>55.353200000000001</v>
      </c>
    </row>
    <row r="22" spans="1:21" x14ac:dyDescent="0.25">
      <c r="O22" s="81">
        <v>1.05</v>
      </c>
      <c r="P22" s="81">
        <f t="shared" si="2"/>
        <v>54.831000000000003</v>
      </c>
    </row>
    <row r="23" spans="1:21" x14ac:dyDescent="0.25">
      <c r="O23" s="81">
        <v>1.04</v>
      </c>
      <c r="P23" s="81">
        <f t="shared" si="2"/>
        <v>54.308799999999998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2"/>
        <v>53.7866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53.264400000000002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52.742199999999997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52.22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51.697800000000001</v>
      </c>
      <c r="U28" t="s">
        <v>1077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51.175599999999996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50.653399999999998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50.1312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49.608999999999995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49.086799999999997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48.564599999999999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48.042400000000001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47.520200000000003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46.997999999999998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2" priority="35">
      <formula>F47&gt;0</formula>
    </cfRule>
    <cfRule type="expression" dxfId="1921" priority="36">
      <formula>F47&lt;0</formula>
    </cfRule>
  </conditionalFormatting>
  <conditionalFormatting sqref="Q7">
    <cfRule type="expression" dxfId="1920" priority="33">
      <formula>Q7&gt;0</formula>
    </cfRule>
    <cfRule type="expression" dxfId="1919" priority="34">
      <formula>Q7&lt;0</formula>
    </cfRule>
  </conditionalFormatting>
  <conditionalFormatting sqref="Q8">
    <cfRule type="expression" dxfId="1918" priority="31">
      <formula>Q8&gt;0</formula>
    </cfRule>
    <cfRule type="expression" dxfId="1917" priority="32">
      <formula>Q8&lt;0</formula>
    </cfRule>
  </conditionalFormatting>
  <conditionalFormatting sqref="F30:F46">
    <cfRule type="expression" dxfId="1916" priority="29">
      <formula>F30&gt;0</formula>
    </cfRule>
    <cfRule type="expression" dxfId="1915" priority="30">
      <formula>F30&lt;0</formula>
    </cfRule>
  </conditionalFormatting>
  <conditionalFormatting sqref="H30:H46">
    <cfRule type="expression" dxfId="1914" priority="27">
      <formula>H30&gt;0</formula>
    </cfRule>
    <cfRule type="expression" dxfId="1913" priority="28">
      <formula>H30&lt;0</formula>
    </cfRule>
  </conditionalFormatting>
  <conditionalFormatting sqref="Q10">
    <cfRule type="expression" dxfId="1912" priority="25">
      <formula>Q10&gt;0</formula>
    </cfRule>
    <cfRule type="expression" dxfId="1911" priority="26">
      <formula>Q10&lt;0</formula>
    </cfRule>
  </conditionalFormatting>
  <conditionalFormatting sqref="J25:J38">
    <cfRule type="expression" dxfId="1910" priority="23">
      <formula>J25&gt;0</formula>
    </cfRule>
    <cfRule type="expression" dxfId="1909" priority="24">
      <formula>J25&lt;0</formula>
    </cfRule>
  </conditionalFormatting>
  <conditionalFormatting sqref="K25:K38">
    <cfRule type="expression" dxfId="1908" priority="21">
      <formula>K25&gt;0</formula>
    </cfRule>
    <cfRule type="expression" dxfId="1907" priority="22">
      <formula>K25&lt;0</formula>
    </cfRule>
  </conditionalFormatting>
  <conditionalFormatting sqref="L25 L38">
    <cfRule type="expression" dxfId="1906" priority="19">
      <formula>L25&gt;0</formula>
    </cfRule>
    <cfRule type="expression" dxfId="1905" priority="20">
      <formula>L25&lt;0</formula>
    </cfRule>
  </conditionalFormatting>
  <conditionalFormatting sqref="F89:F110">
    <cfRule type="expression" dxfId="1904" priority="17">
      <formula>F89&gt;0</formula>
    </cfRule>
    <cfRule type="expression" dxfId="1903" priority="18">
      <formula>F89&lt;0</formula>
    </cfRule>
  </conditionalFormatting>
  <conditionalFormatting sqref="H89:H110">
    <cfRule type="expression" dxfId="1902" priority="15">
      <formula>H89&gt;0</formula>
    </cfRule>
    <cfRule type="expression" dxfId="1901" priority="16">
      <formula>H89&lt;0</formula>
    </cfRule>
  </conditionalFormatting>
  <conditionalFormatting sqref="J89:J102">
    <cfRule type="expression" dxfId="1900" priority="13">
      <formula>J89&gt;0</formula>
    </cfRule>
    <cfRule type="expression" dxfId="1899" priority="14">
      <formula>J89&lt;0</formula>
    </cfRule>
  </conditionalFormatting>
  <conditionalFormatting sqref="K89:K102">
    <cfRule type="expression" dxfId="1898" priority="11">
      <formula>K89&gt;0</formula>
    </cfRule>
    <cfRule type="expression" dxfId="1897" priority="12">
      <formula>K89&lt;0</formula>
    </cfRule>
  </conditionalFormatting>
  <conditionalFormatting sqref="L89:L102">
    <cfRule type="expression" dxfId="1896" priority="9">
      <formula>L89&gt;0</formula>
    </cfRule>
    <cfRule type="expression" dxfId="1895" priority="10">
      <formula>L89&lt;0</formula>
    </cfRule>
  </conditionalFormatting>
  <conditionalFormatting sqref="F25 F29">
    <cfRule type="expression" dxfId="1894" priority="7">
      <formula>F25&gt;0</formula>
    </cfRule>
    <cfRule type="expression" dxfId="1893" priority="8">
      <formula>F25&lt;0</formula>
    </cfRule>
  </conditionalFormatting>
  <conditionalFormatting sqref="H29 H25:H27">
    <cfRule type="expression" dxfId="1892" priority="5">
      <formula>H25&gt;0</formula>
    </cfRule>
    <cfRule type="expression" dxfId="1891" priority="6">
      <formula>H25&lt;0</formula>
    </cfRule>
  </conditionalFormatting>
  <conditionalFormatting sqref="F26:F28">
    <cfRule type="expression" dxfId="1890" priority="3">
      <formula>F26&gt;0</formula>
    </cfRule>
    <cfRule type="expression" dxfId="1889" priority="4">
      <formula>F26&lt;0</formula>
    </cfRule>
  </conditionalFormatting>
  <conditionalFormatting sqref="H28">
    <cfRule type="expression" dxfId="1888" priority="1">
      <formula>H28&gt;0</formula>
    </cfRule>
    <cfRule type="expression" dxfId="188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347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459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29.12</v>
      </c>
      <c r="R4" s="222">
        <v>-3.5000000000000001E-3</v>
      </c>
      <c r="T4" s="34" t="s">
        <v>671</v>
      </c>
      <c r="U4" s="22" t="s">
        <v>670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43680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1014</v>
      </c>
      <c r="U6" t="s">
        <v>1016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3854.2199999999648</v>
      </c>
      <c r="R7" s="29">
        <v>43297</v>
      </c>
      <c r="T7" s="813" t="s">
        <v>1147</v>
      </c>
      <c r="U7" t="s">
        <v>1148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2106.2499999999709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208</v>
      </c>
      <c r="Q9" s="222">
        <f>IF(Q2=0, 0, Q8/Q6)</f>
        <v>5.0662978441924765E-2</v>
      </c>
      <c r="T9" s="813" t="s">
        <v>516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207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1.9230769230769232E-2</v>
      </c>
      <c r="R11">
        <v>0.14000000000000001</v>
      </c>
      <c r="T11" s="813">
        <v>43095</v>
      </c>
      <c r="U11" t="s">
        <v>784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946</v>
      </c>
      <c r="Q12" s="29" t="s">
        <v>1156</v>
      </c>
      <c r="U12" t="s">
        <v>790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1015</v>
      </c>
      <c r="Q13" s="2">
        <f>Q4/(2+2.15)*2</f>
        <v>14.033734939759036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847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1040</v>
      </c>
      <c r="Q15" s="29">
        <v>43285</v>
      </c>
      <c r="U15" t="s">
        <v>835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845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846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851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859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860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32.032000000000004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31.740800000000004</v>
      </c>
      <c r="Q24" s="2"/>
      <c r="T24" s="813">
        <v>43126</v>
      </c>
      <c r="U24" t="s">
        <v>910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31.449600000000004</v>
      </c>
      <c r="Q25" s="2"/>
      <c r="U25" t="s">
        <v>911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31.158400000000004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30.867200000000004</v>
      </c>
      <c r="Q27" s="2"/>
      <c r="T27" s="814">
        <v>43153</v>
      </c>
      <c r="U27" t="s">
        <v>950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30.576000000000004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30.284800000000001</v>
      </c>
      <c r="Q29" s="2"/>
      <c r="T29" s="814">
        <v>43161</v>
      </c>
      <c r="U29" t="s">
        <v>949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29.993600000000001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29.702400000000001</v>
      </c>
      <c r="Q31" s="2"/>
      <c r="T31" s="814">
        <v>43167</v>
      </c>
      <c r="U31" t="s">
        <v>976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29.411200000000001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29.12</v>
      </c>
      <c r="Q33" s="2"/>
      <c r="T33" s="813">
        <v>43196</v>
      </c>
      <c r="U33" t="s">
        <v>969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28.828800000000001</v>
      </c>
      <c r="Q34" s="2"/>
      <c r="U34" t="s">
        <v>991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28.537600000000001</v>
      </c>
      <c r="Q35" s="2"/>
      <c r="T35" s="813">
        <v>43200</v>
      </c>
      <c r="U35" t="s">
        <v>1006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28.246400000000001</v>
      </c>
      <c r="T36" s="813">
        <v>43203</v>
      </c>
      <c r="U36" t="s">
        <v>1005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27.955200000000001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27.663999999999998</v>
      </c>
      <c r="T38" s="813">
        <v>43210</v>
      </c>
      <c r="U38" t="s">
        <v>1011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27.372799999999998</v>
      </c>
      <c r="U39" t="s">
        <v>1012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27.081600000000002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26.790400000000002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26.499200000000002</v>
      </c>
      <c r="T42" s="813">
        <v>43214</v>
      </c>
      <c r="U42" t="s">
        <v>1017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26.208000000000002</v>
      </c>
      <c r="T43" s="813">
        <v>43221</v>
      </c>
      <c r="U43" t="s">
        <v>1058</v>
      </c>
      <c r="W43" s="134"/>
      <c r="AA43" s="2"/>
      <c r="AD43" s="2"/>
      <c r="AG43" s="2"/>
      <c r="AI43" s="2"/>
    </row>
    <row r="44" spans="1:39" x14ac:dyDescent="0.25">
      <c r="A44" t="s">
        <v>1141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4">
        <v>43223</v>
      </c>
      <c r="U44" t="s">
        <v>1056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3">
        <v>43224</v>
      </c>
      <c r="U46" s="475" t="s">
        <v>1057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3">
        <v>43236</v>
      </c>
      <c r="U48" t="s">
        <v>1082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1013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1084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1086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1097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1158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1142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1143</v>
      </c>
      <c r="AA61" s="2"/>
      <c r="AD61" s="2"/>
      <c r="AG61" s="2"/>
      <c r="AI61" s="2"/>
    </row>
    <row r="62" spans="1:39" x14ac:dyDescent="0.25">
      <c r="U62" t="s">
        <v>1144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497</v>
      </c>
      <c r="K63" s="220" t="s">
        <v>150</v>
      </c>
      <c r="L63" s="220" t="s">
        <v>728</v>
      </c>
      <c r="AA63" s="2"/>
      <c r="AD63" s="2"/>
      <c r="AG63" s="2"/>
      <c r="AI63" s="2"/>
    </row>
    <row r="64" spans="1:39" x14ac:dyDescent="0.25">
      <c r="A64" t="s">
        <v>336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1154</v>
      </c>
    </row>
    <row r="65" spans="1:21" x14ac:dyDescent="0.25">
      <c r="A65" t="s">
        <v>336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  <c r="U65" t="s">
        <v>1155</v>
      </c>
    </row>
    <row r="66" spans="1:21" x14ac:dyDescent="0.25">
      <c r="A66" t="s">
        <v>366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390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21" x14ac:dyDescent="0.25">
      <c r="A68" t="s">
        <v>406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21" x14ac:dyDescent="0.25">
      <c r="A69" t="s">
        <v>367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21" x14ac:dyDescent="0.25">
      <c r="A70" t="s">
        <v>430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438</v>
      </c>
      <c r="J70" s="39"/>
      <c r="K70" s="39"/>
      <c r="L70" s="39"/>
    </row>
    <row r="71" spans="1:21" x14ac:dyDescent="0.25">
      <c r="A71" t="s">
        <v>337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462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21" x14ac:dyDescent="0.25">
      <c r="A73" t="s">
        <v>467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774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848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919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0" t="s">
        <v>1131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5" si="227">C152*(E152-D152)</f>
        <v>1001.100000000001</v>
      </c>
      <c r="G152" s="39">
        <f t="shared" ref="G152:G155" si="228">D152*C152</f>
        <v>42093.9</v>
      </c>
      <c r="H152" s="222">
        <f t="shared" ref="H152:H155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227"/>
        <v>1935.0000000000041</v>
      </c>
      <c r="G154" s="39">
        <f t="shared" si="228"/>
        <v>41580</v>
      </c>
      <c r="H154" s="222">
        <f t="shared" si="229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227"/>
        <v>1470.0000000000007</v>
      </c>
      <c r="G155" s="39">
        <f t="shared" si="228"/>
        <v>41580</v>
      </c>
      <c r="H155" s="222">
        <f t="shared" si="229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86" priority="107">
      <formula>F94&gt;0</formula>
    </cfRule>
    <cfRule type="expression" dxfId="1885" priority="108">
      <formula>F94&lt;0</formula>
    </cfRule>
  </conditionalFormatting>
  <conditionalFormatting sqref="F178:F191 F194:F238 F241:F242">
    <cfRule type="expression" dxfId="1884" priority="103">
      <formula>F178&gt;0</formula>
    </cfRule>
    <cfRule type="expression" dxfId="1883" priority="104">
      <formula>F178&lt;0</formula>
    </cfRule>
  </conditionalFormatting>
  <conditionalFormatting sqref="F178:F191 F194:F238 F241:F242">
    <cfRule type="expression" dxfId="1882" priority="105">
      <formula>F178&gt;0</formula>
    </cfRule>
    <cfRule type="expression" dxfId="1881" priority="106">
      <formula>F178&lt;0</formula>
    </cfRule>
  </conditionalFormatting>
  <conditionalFormatting sqref="H173:H191 H194:H238 H241:H242">
    <cfRule type="expression" dxfId="1880" priority="101">
      <formula>H173&gt;0</formula>
    </cfRule>
    <cfRule type="expression" dxfId="1879" priority="102">
      <formula>H173&lt;0</formula>
    </cfRule>
  </conditionalFormatting>
  <conditionalFormatting sqref="F169:F172">
    <cfRule type="expression" dxfId="1878" priority="95">
      <formula>F169&gt;0</formula>
    </cfRule>
    <cfRule type="expression" dxfId="1877" priority="96">
      <formula>F169&lt;0</formula>
    </cfRule>
  </conditionalFormatting>
  <conditionalFormatting sqref="H169:H172">
    <cfRule type="expression" dxfId="1876" priority="93">
      <formula>H169&gt;0</formula>
    </cfRule>
    <cfRule type="expression" dxfId="1875" priority="94">
      <formula>H169&lt;0</formula>
    </cfRule>
  </conditionalFormatting>
  <conditionalFormatting sqref="Q8">
    <cfRule type="expression" dxfId="1874" priority="89">
      <formula>Q8&gt;0</formula>
    </cfRule>
    <cfRule type="expression" dxfId="1873" priority="90">
      <formula>Q8&lt;0</formula>
    </cfRule>
  </conditionalFormatting>
  <conditionalFormatting sqref="Q7">
    <cfRule type="expression" dxfId="1872" priority="91">
      <formula>Q7&gt;0</formula>
    </cfRule>
    <cfRule type="expression" dxfId="1871" priority="92">
      <formula>Q7&lt;0</formula>
    </cfRule>
  </conditionalFormatting>
  <conditionalFormatting sqref="F192">
    <cfRule type="expression" dxfId="1870" priority="85">
      <formula>F192&gt;0</formula>
    </cfRule>
    <cfRule type="expression" dxfId="1869" priority="86">
      <formula>F192&lt;0</formula>
    </cfRule>
  </conditionalFormatting>
  <conditionalFormatting sqref="F192">
    <cfRule type="expression" dxfId="1868" priority="87">
      <formula>F192&gt;0</formula>
    </cfRule>
    <cfRule type="expression" dxfId="1867" priority="88">
      <formula>F192&lt;0</formula>
    </cfRule>
  </conditionalFormatting>
  <conditionalFormatting sqref="H192">
    <cfRule type="expression" dxfId="1866" priority="83">
      <formula>H192&gt;0</formula>
    </cfRule>
    <cfRule type="expression" dxfId="1865" priority="84">
      <formula>H192&lt;0</formula>
    </cfRule>
  </conditionalFormatting>
  <conditionalFormatting sqref="F193">
    <cfRule type="expression" dxfId="1864" priority="79">
      <formula>F193&gt;0</formula>
    </cfRule>
    <cfRule type="expression" dxfId="1863" priority="80">
      <formula>F193&lt;0</formula>
    </cfRule>
  </conditionalFormatting>
  <conditionalFormatting sqref="F193">
    <cfRule type="expression" dxfId="1862" priority="81">
      <formula>F193&gt;0</formula>
    </cfRule>
    <cfRule type="expression" dxfId="1861" priority="82">
      <formula>F193&lt;0</formula>
    </cfRule>
  </conditionalFormatting>
  <conditionalFormatting sqref="H193">
    <cfRule type="expression" dxfId="1860" priority="77">
      <formula>H193&gt;0</formula>
    </cfRule>
    <cfRule type="expression" dxfId="1859" priority="78">
      <formula>H193&lt;0</formula>
    </cfRule>
  </conditionalFormatting>
  <conditionalFormatting sqref="F239:F240">
    <cfRule type="expression" dxfId="1858" priority="73">
      <formula>F239&gt;0</formula>
    </cfRule>
    <cfRule type="expression" dxfId="1857" priority="74">
      <formula>F239&lt;0</formula>
    </cfRule>
  </conditionalFormatting>
  <conditionalFormatting sqref="F239:F240">
    <cfRule type="expression" dxfId="1856" priority="75">
      <formula>F239&gt;0</formula>
    </cfRule>
    <cfRule type="expression" dxfId="1855" priority="76">
      <formula>F239&lt;0</formula>
    </cfRule>
  </conditionalFormatting>
  <conditionalFormatting sqref="H239:H240">
    <cfRule type="expression" dxfId="1854" priority="71">
      <formula>H239&gt;0</formula>
    </cfRule>
    <cfRule type="expression" dxfId="1853" priority="72">
      <formula>H239&lt;0</formula>
    </cfRule>
  </conditionalFormatting>
  <conditionalFormatting sqref="F64:F79">
    <cfRule type="expression" dxfId="1852" priority="69">
      <formula>F64&gt;0</formula>
    </cfRule>
    <cfRule type="expression" dxfId="1851" priority="70">
      <formula>F64&lt;0</formula>
    </cfRule>
  </conditionalFormatting>
  <conditionalFormatting sqref="H64:H79">
    <cfRule type="expression" dxfId="1850" priority="67">
      <formula>H64&gt;0</formula>
    </cfRule>
    <cfRule type="expression" dxfId="1849" priority="68">
      <formula>H64&lt;0</formula>
    </cfRule>
  </conditionalFormatting>
  <conditionalFormatting sqref="Q10">
    <cfRule type="expression" dxfId="1848" priority="65">
      <formula>Q10&gt;0</formula>
    </cfRule>
    <cfRule type="expression" dxfId="1847" priority="66">
      <formula>Q10&lt;0</formula>
    </cfRule>
  </conditionalFormatting>
  <conditionalFormatting sqref="J74:K74">
    <cfRule type="expression" dxfId="1846" priority="63">
      <formula>J74&gt;0</formula>
    </cfRule>
    <cfRule type="expression" dxfId="1845" priority="64">
      <formula>J74&lt;0</formula>
    </cfRule>
  </conditionalFormatting>
  <conditionalFormatting sqref="K75">
    <cfRule type="expression" dxfId="1844" priority="61">
      <formula>K75&gt;0</formula>
    </cfRule>
    <cfRule type="expression" dxfId="1843" priority="62">
      <formula>K75&lt;0</formula>
    </cfRule>
  </conditionalFormatting>
  <conditionalFormatting sqref="K76:K89">
    <cfRule type="expression" dxfId="1842" priority="59">
      <formula>K76&gt;0</formula>
    </cfRule>
    <cfRule type="expression" dxfId="1841" priority="60">
      <formula>K76&lt;0</formula>
    </cfRule>
  </conditionalFormatting>
  <conditionalFormatting sqref="F81:F89">
    <cfRule type="expression" dxfId="1840" priority="57">
      <formula>F81&gt;0</formula>
    </cfRule>
    <cfRule type="expression" dxfId="1839" priority="58">
      <formula>F81&lt;0</formula>
    </cfRule>
  </conditionalFormatting>
  <conditionalFormatting sqref="H81:H89">
    <cfRule type="expression" dxfId="1838" priority="55">
      <formula>H81&gt;0</formula>
    </cfRule>
    <cfRule type="expression" dxfId="1837" priority="56">
      <formula>H81&lt;0</formula>
    </cfRule>
  </conditionalFormatting>
  <conditionalFormatting sqref="R4">
    <cfRule type="expression" dxfId="1836" priority="53">
      <formula>R4&gt;0</formula>
    </cfRule>
    <cfRule type="expression" dxfId="1835" priority="54">
      <formula>R4&lt;0</formula>
    </cfRule>
  </conditionalFormatting>
  <conditionalFormatting sqref="Q9">
    <cfRule type="expression" dxfId="1834" priority="51">
      <formula>Q9&gt;0</formula>
    </cfRule>
    <cfRule type="expression" dxfId="1833" priority="52">
      <formula>Q9&lt;0</formula>
    </cfRule>
  </conditionalFormatting>
  <conditionalFormatting sqref="K90:K93">
    <cfRule type="expression" dxfId="1832" priority="49">
      <formula>K90&gt;0</formula>
    </cfRule>
    <cfRule type="expression" dxfId="1831" priority="50">
      <formula>K90&lt;0</formula>
    </cfRule>
  </conditionalFormatting>
  <conditionalFormatting sqref="F90:F113">
    <cfRule type="expression" dxfId="1830" priority="47">
      <formula>F90&gt;0</formula>
    </cfRule>
    <cfRule type="expression" dxfId="1829" priority="48">
      <formula>F90&lt;0</formula>
    </cfRule>
  </conditionalFormatting>
  <conditionalFormatting sqref="H90:H113">
    <cfRule type="expression" dxfId="1828" priority="45">
      <formula>H90&gt;0</formula>
    </cfRule>
    <cfRule type="expression" dxfId="182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26" priority="41">
      <formula>F114&gt;0</formula>
    </cfRule>
    <cfRule type="expression" dxfId="1825" priority="42">
      <formula>F114&lt;0</formula>
    </cfRule>
  </conditionalFormatting>
  <conditionalFormatting sqref="H114:H138">
    <cfRule type="expression" dxfId="1824" priority="39">
      <formula>H114&gt;0</formula>
    </cfRule>
    <cfRule type="expression" dxfId="1823" priority="40">
      <formula>H114&lt;0</formula>
    </cfRule>
  </conditionalFormatting>
  <conditionalFormatting sqref="K129:K131">
    <cfRule type="expression" dxfId="1822" priority="37">
      <formula>K129&gt;0</formula>
    </cfRule>
    <cfRule type="expression" dxfId="1821" priority="38">
      <formula>K129&lt;0</formula>
    </cfRule>
  </conditionalFormatting>
  <conditionalFormatting sqref="K133:K135">
    <cfRule type="expression" dxfId="1820" priority="35">
      <formula>K133&gt;0</formula>
    </cfRule>
    <cfRule type="expression" dxfId="1819" priority="36">
      <formula>K133&lt;0</formula>
    </cfRule>
  </conditionalFormatting>
  <conditionalFormatting sqref="K140">
    <cfRule type="expression" dxfId="1818" priority="31">
      <formula>K140&gt;0</formula>
    </cfRule>
    <cfRule type="expression" dxfId="1817" priority="32">
      <formula>K140&lt;0</formula>
    </cfRule>
  </conditionalFormatting>
  <conditionalFormatting sqref="K136:K138">
    <cfRule type="expression" dxfId="1816" priority="29">
      <formula>K136&gt;0</formula>
    </cfRule>
    <cfRule type="expression" dxfId="1815" priority="30">
      <formula>K136&lt;0</formula>
    </cfRule>
  </conditionalFormatting>
  <conditionalFormatting sqref="K139">
    <cfRule type="expression" dxfId="1814" priority="23">
      <formula>K139&gt;0</formula>
    </cfRule>
    <cfRule type="expression" dxfId="1813" priority="24">
      <formula>K139&lt;0</formula>
    </cfRule>
  </conditionalFormatting>
  <conditionalFormatting sqref="H148:H149 F148:F149 K148:K149">
    <cfRule type="expression" dxfId="1812" priority="21">
      <formula>F148&gt;0</formula>
    </cfRule>
    <cfRule type="expression" dxfId="1811" priority="22">
      <formula>F148&lt;0</formula>
    </cfRule>
  </conditionalFormatting>
  <conditionalFormatting sqref="H143:H147 F143:F147 K143:K147">
    <cfRule type="expression" dxfId="1810" priority="19">
      <formula>F143&gt;0</formula>
    </cfRule>
    <cfRule type="expression" dxfId="1809" priority="20">
      <formula>F143&lt;0</formula>
    </cfRule>
  </conditionalFormatting>
  <conditionalFormatting sqref="F80">
    <cfRule type="expression" dxfId="1808" priority="17">
      <formula>F80&gt;0</formula>
    </cfRule>
    <cfRule type="expression" dxfId="1807" priority="18">
      <formula>F80&lt;0</formula>
    </cfRule>
  </conditionalFormatting>
  <conditionalFormatting sqref="H80">
    <cfRule type="expression" dxfId="1806" priority="15">
      <formula>H80&gt;0</formula>
    </cfRule>
    <cfRule type="expression" dxfId="1805" priority="16">
      <formula>H80&lt;0</formula>
    </cfRule>
  </conditionalFormatting>
  <conditionalFormatting sqref="F164:F165 H164:H165 K164:K165">
    <cfRule type="expression" dxfId="1804" priority="13">
      <formula>F164&gt;0</formula>
    </cfRule>
    <cfRule type="expression" dxfId="1803" priority="14">
      <formula>F164&lt;0</formula>
    </cfRule>
  </conditionalFormatting>
  <conditionalFormatting sqref="F162:F163 H162:H163 K162:K163">
    <cfRule type="expression" dxfId="1802" priority="11">
      <formula>F162&gt;0</formula>
    </cfRule>
    <cfRule type="expression" dxfId="1801" priority="12">
      <formula>F162&lt;0</formula>
    </cfRule>
  </conditionalFormatting>
  <conditionalFormatting sqref="F160:F161 H160:H161 K160:K161">
    <cfRule type="expression" dxfId="1800" priority="9">
      <formula>F160&gt;0</formula>
    </cfRule>
    <cfRule type="expression" dxfId="1799" priority="10">
      <formula>F160&lt;0</formula>
    </cfRule>
  </conditionalFormatting>
  <conditionalFormatting sqref="F158:F159 H158:H159 K158:K159">
    <cfRule type="expression" dxfId="1798" priority="7">
      <formula>F158&gt;0</formula>
    </cfRule>
    <cfRule type="expression" dxfId="1797" priority="8">
      <formula>F158&lt;0</formula>
    </cfRule>
  </conditionalFormatting>
  <conditionalFormatting sqref="F156:F157 H156:H157 K156:K157">
    <cfRule type="expression" dxfId="1796" priority="5">
      <formula>F156&gt;0</formula>
    </cfRule>
    <cfRule type="expression" dxfId="1795" priority="6">
      <formula>F156&lt;0</formula>
    </cfRule>
  </conditionalFormatting>
  <conditionalFormatting sqref="F154:F155 H154:H155 K154:K155">
    <cfRule type="expression" dxfId="1794" priority="3">
      <formula>F154&gt;0</formula>
    </cfRule>
    <cfRule type="expression" dxfId="1793" priority="4">
      <formula>F154&lt;0</formula>
    </cfRule>
  </conditionalFormatting>
  <conditionalFormatting sqref="F153 H153 K152:K153">
    <cfRule type="expression" dxfId="1792" priority="1">
      <formula>F152&gt;0</formula>
    </cfRule>
    <cfRule type="expression" dxfId="1791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264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11.05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11.05</v>
      </c>
      <c r="R4" s="475">
        <v>5.4999999999999997E-3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12.155000000000001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12.044500000000001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11.934000000000001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11.823500000000001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11.713000000000001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11.602500000000001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11.492000000000001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11.381500000000001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11.271000000000001</v>
      </c>
      <c r="Q49" s="2"/>
      <c r="T49" s="91" t="s">
        <v>103</v>
      </c>
      <c r="U49" s="86" t="s">
        <v>370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11.160500000000001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11.05</v>
      </c>
      <c r="Q51" s="2"/>
      <c r="T51" s="91" t="s">
        <v>104</v>
      </c>
      <c r="U51" s="86" t="s">
        <v>587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10.939500000000001</v>
      </c>
      <c r="Q52" s="2"/>
      <c r="T52" s="91" t="s">
        <v>105</v>
      </c>
      <c r="U52" s="86" t="s">
        <v>387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10.829000000000001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10.718500000000001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10.608000000000001</v>
      </c>
      <c r="T55" s="91" t="s">
        <v>107</v>
      </c>
      <c r="U55" s="86" t="s">
        <v>588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10.4975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10.387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10.2765</v>
      </c>
      <c r="T58" s="91" t="s">
        <v>108</v>
      </c>
      <c r="U58" s="86" t="s">
        <v>531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10.166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10.0555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9.9450000000000003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252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262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275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90" priority="31">
      <formula>Q7&gt;0</formula>
    </cfRule>
    <cfRule type="expression" dxfId="1789" priority="32">
      <formula>Q7&lt;0</formula>
    </cfRule>
  </conditionalFormatting>
  <conditionalFormatting sqref="Q8">
    <cfRule type="expression" dxfId="1788" priority="29">
      <formula>Q8&gt;0</formula>
    </cfRule>
    <cfRule type="expression" dxfId="1787" priority="30">
      <formula>Q8&lt;0</formula>
    </cfRule>
  </conditionalFormatting>
  <conditionalFormatting sqref="F62:F65">
    <cfRule type="expression" dxfId="1786" priority="21">
      <formula>F62&gt;0</formula>
    </cfRule>
    <cfRule type="expression" dxfId="1785" priority="22">
      <formula>F62&lt;0</formula>
    </cfRule>
  </conditionalFormatting>
  <conditionalFormatting sqref="F66:F74 F78:F98 F102:F106">
    <cfRule type="expression" dxfId="1784" priority="17">
      <formula>F66&gt;0</formula>
    </cfRule>
    <cfRule type="expression" dxfId="1783" priority="18">
      <formula>F66&lt;0</formula>
    </cfRule>
  </conditionalFormatting>
  <conditionalFormatting sqref="F66:F74 F78:F98 F102:F106">
    <cfRule type="expression" dxfId="1782" priority="19">
      <formula>F66&gt;0</formula>
    </cfRule>
    <cfRule type="expression" dxfId="1781" priority="20">
      <formula>F66&lt;0</formula>
    </cfRule>
  </conditionalFormatting>
  <conditionalFormatting sqref="H62:H74 H78:H98 H102:H106">
    <cfRule type="expression" dxfId="1780" priority="15">
      <formula>H62&gt;0</formula>
    </cfRule>
    <cfRule type="expression" dxfId="1779" priority="16">
      <formula>H62&lt;0</formula>
    </cfRule>
  </conditionalFormatting>
  <conditionalFormatting sqref="F57:F61">
    <cfRule type="expression" dxfId="1778" priority="13">
      <formula>F57&gt;0</formula>
    </cfRule>
    <cfRule type="expression" dxfId="1777" priority="14">
      <formula>F57&lt;0</formula>
    </cfRule>
  </conditionalFormatting>
  <conditionalFormatting sqref="H57:H61">
    <cfRule type="expression" dxfId="1776" priority="11">
      <formula>H57&gt;0</formula>
    </cfRule>
    <cfRule type="expression" dxfId="1775" priority="12">
      <formula>H57&lt;0</formula>
    </cfRule>
  </conditionalFormatting>
  <conditionalFormatting sqref="F75:F77">
    <cfRule type="expression" dxfId="1774" priority="7">
      <formula>F75&gt;0</formula>
    </cfRule>
    <cfRule type="expression" dxfId="1773" priority="8">
      <formula>F75&lt;0</formula>
    </cfRule>
  </conditionalFormatting>
  <conditionalFormatting sqref="F75:F77">
    <cfRule type="expression" dxfId="1772" priority="9">
      <formula>F75&gt;0</formula>
    </cfRule>
    <cfRule type="expression" dxfId="1771" priority="10">
      <formula>F75&lt;0</formula>
    </cfRule>
  </conditionalFormatting>
  <conditionalFormatting sqref="H75:H77">
    <cfRule type="expression" dxfId="1770" priority="5">
      <formula>H75&gt;0</formula>
    </cfRule>
    <cfRule type="expression" dxfId="1769" priority="6">
      <formula>H75&lt;0</formula>
    </cfRule>
  </conditionalFormatting>
  <conditionalFormatting sqref="F22:F30">
    <cfRule type="expression" dxfId="1768" priority="3">
      <formula>F22&gt;0</formula>
    </cfRule>
    <cfRule type="expression" dxfId="1767" priority="4">
      <formula>F22&lt;0</formula>
    </cfRule>
  </conditionalFormatting>
  <conditionalFormatting sqref="F99:F101">
    <cfRule type="expression" dxfId="1766" priority="1">
      <formula>F99&gt;0</formula>
    </cfRule>
    <cfRule type="expression" dxfId="176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topLeftCell="F1" workbookViewId="0">
      <pane ySplit="1" topLeftCell="A2" activePane="bottomLeft" state="frozen"/>
      <selection activeCell="A2" sqref="A2"/>
      <selection pane="bottomLeft" activeCell="Q17" sqref="Q17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477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125.75</v>
      </c>
      <c r="R4" s="475">
        <v>1.8700000000000001E-2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6287.5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448.27999999999975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293.5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4.8965632298965632E-2</v>
      </c>
    </row>
    <row r="10" spans="1:21" x14ac:dyDescent="0.25">
      <c r="G10" s="29"/>
      <c r="H10" s="70"/>
      <c r="O10" s="11" t="s">
        <v>207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1010</v>
      </c>
      <c r="Q12" s="1" t="s">
        <v>1173</v>
      </c>
    </row>
    <row r="13" spans="1:21" x14ac:dyDescent="0.25">
      <c r="G13" s="29"/>
      <c r="H13" s="70"/>
      <c r="O13" s="11" t="s">
        <v>973</v>
      </c>
      <c r="Q13" s="2">
        <f>Q4/8.12</f>
        <v>15.486453201970445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138.32500000000002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137.06750000000002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135.81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134.55250000000001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133.29500000000002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132.03749999999999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130.78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129.52250000000001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128.26500000000001</v>
      </c>
      <c r="Q49" s="2"/>
      <c r="T49" s="91" t="s">
        <v>103</v>
      </c>
      <c r="U49" s="127" t="s">
        <v>355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127.00750000000001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125.75</v>
      </c>
      <c r="Q51" s="2"/>
      <c r="T51" s="91" t="s">
        <v>104</v>
      </c>
      <c r="U51" s="127" t="s">
        <v>589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124.49249999999999</v>
      </c>
      <c r="Q52" s="2"/>
      <c r="T52" s="91" t="s">
        <v>105</v>
      </c>
      <c r="U52" s="127" t="s">
        <v>590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123.235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121.97749999999999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120.72</v>
      </c>
      <c r="T55" s="91" t="s">
        <v>107</v>
      </c>
      <c r="U55" s="127" t="s">
        <v>591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119.46249999999999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118.205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116.94750000000001</v>
      </c>
      <c r="T58" s="91" t="s">
        <v>108</v>
      </c>
      <c r="U58" s="127" t="s">
        <v>538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115.69000000000001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114.4325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113.175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269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359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397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414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64" priority="19">
      <formula>F25&gt;0</formula>
    </cfRule>
    <cfRule type="expression" dxfId="1763" priority="20">
      <formula>F25&lt;0</formula>
    </cfRule>
  </conditionalFormatting>
  <conditionalFormatting sqref="Q7">
    <cfRule type="expression" dxfId="1762" priority="17">
      <formula>Q7&gt;0</formula>
    </cfRule>
    <cfRule type="expression" dxfId="1761" priority="18">
      <formula>Q7&lt;0</formula>
    </cfRule>
  </conditionalFormatting>
  <conditionalFormatting sqref="Q8">
    <cfRule type="expression" dxfId="1760" priority="15">
      <formula>Q8&gt;0</formula>
    </cfRule>
    <cfRule type="expression" dxfId="1759" priority="16">
      <formula>Q8&lt;0</formula>
    </cfRule>
  </conditionalFormatting>
  <conditionalFormatting sqref="M74">
    <cfRule type="expression" dxfId="1758" priority="9">
      <formula>M74&gt;0</formula>
    </cfRule>
    <cfRule type="expression" dxfId="1757" priority="10">
      <formula>M74&lt;0</formula>
    </cfRule>
  </conditionalFormatting>
  <conditionalFormatting sqref="F113:F149 H113:H149">
    <cfRule type="expression" dxfId="1756" priority="7">
      <formula>F113&gt;0</formula>
    </cfRule>
    <cfRule type="expression" dxfId="1755" priority="8">
      <formula>F113&lt;0</formula>
    </cfRule>
  </conditionalFormatting>
  <conditionalFormatting sqref="F105:F112">
    <cfRule type="expression" dxfId="1754" priority="5">
      <formula>F105&gt;0</formula>
    </cfRule>
    <cfRule type="expression" dxfId="1753" priority="6">
      <formula>F105&lt;0</formula>
    </cfRule>
  </conditionalFormatting>
  <conditionalFormatting sqref="H105:H112">
    <cfRule type="expression" dxfId="1752" priority="3">
      <formula>H105&gt;0</formula>
    </cfRule>
    <cfRule type="expression" dxfId="1751" priority="4">
      <formula>H105&lt;0</formula>
    </cfRule>
  </conditionalFormatting>
  <conditionalFormatting sqref="Q10">
    <cfRule type="expression" dxfId="1750" priority="1">
      <formula>Q10&gt;0</formula>
    </cfRule>
    <cfRule type="expression" dxfId="174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817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242.61</v>
      </c>
      <c r="R4" s="495">
        <v>1.0999999999999999E-2</v>
      </c>
      <c r="T4" s="770">
        <v>43103</v>
      </c>
      <c r="U4" s="30" t="s">
        <v>1038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7278.3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927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4197.3199999999861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3972.5499999999856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208</v>
      </c>
      <c r="Q9" s="134">
        <f>IF(Q2=0, 0, Q8/Q6)</f>
        <v>1.2017091431596365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207</v>
      </c>
      <c r="P10" s="33"/>
      <c r="Q10" s="2">
        <f>M84</f>
        <v>224.77000000000044</v>
      </c>
      <c r="U10" t="s">
        <v>982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946</v>
      </c>
      <c r="Q12" s="1" t="s">
        <v>1169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973</v>
      </c>
      <c r="Q13" s="2">
        <f>Q4/(8.16*1.2)</f>
        <v>24.776348039215687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968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4"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4"/>
        <v>8675.2000000000007</v>
      </c>
      <c r="O17" s="81">
        <v>1.1000000000000001</v>
      </c>
      <c r="P17" s="81">
        <f>O17*$Q$4</f>
        <v>266.87100000000004</v>
      </c>
      <c r="T17" s="1">
        <v>43257</v>
      </c>
      <c r="U17" t="s">
        <v>1037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4"/>
        <v>6230.4000000000005</v>
      </c>
      <c r="O18" s="81">
        <v>1.0900000000000001</v>
      </c>
      <c r="P18" s="81">
        <f t="shared" ref="P18:P37" si="5">O18*$Q$4</f>
        <v>264.44490000000002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4"/>
        <v>3496.2000000000003</v>
      </c>
      <c r="O19" s="81">
        <v>1.08</v>
      </c>
      <c r="P19" s="81">
        <f t="shared" si="5"/>
        <v>262.01880000000006</v>
      </c>
      <c r="T19" s="1">
        <v>43285</v>
      </c>
      <c r="U19" t="s">
        <v>1170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4"/>
        <v>3630</v>
      </c>
      <c r="O20" s="81">
        <v>1.07</v>
      </c>
      <c r="P20" s="81">
        <f t="shared" si="5"/>
        <v>259.59270000000004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4"/>
        <v>3465</v>
      </c>
      <c r="O21" s="81">
        <v>1.06</v>
      </c>
      <c r="P21" s="81">
        <f t="shared" si="5"/>
        <v>257.16660000000002</v>
      </c>
    </row>
    <row r="22" spans="1:21" x14ac:dyDescent="0.25">
      <c r="C22" s="4"/>
      <c r="O22" s="81">
        <v>1.05</v>
      </c>
      <c r="P22" s="81">
        <f t="shared" si="5"/>
        <v>254.74050000000003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5"/>
        <v>252.31440000000003</v>
      </c>
    </row>
    <row r="24" spans="1:21" x14ac:dyDescent="0.25">
      <c r="O24" s="81">
        <v>1.03</v>
      </c>
      <c r="P24" s="81">
        <f t="shared" si="5"/>
        <v>249.88830000000002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5"/>
        <v>247.46220000000002</v>
      </c>
    </row>
    <row r="26" spans="1:21" x14ac:dyDescent="0.25">
      <c r="O26" s="81">
        <v>1.01</v>
      </c>
      <c r="P26" s="81">
        <f t="shared" si="5"/>
        <v>245.0361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5"/>
        <v>242.61</v>
      </c>
    </row>
    <row r="28" spans="1:21" x14ac:dyDescent="0.25">
      <c r="O28" s="81">
        <v>0.99</v>
      </c>
      <c r="P28" s="81">
        <f t="shared" si="5"/>
        <v>240.18390000000002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5"/>
        <v>237.7578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5"/>
        <v>235.33170000000001</v>
      </c>
    </row>
    <row r="31" spans="1:21" x14ac:dyDescent="0.25">
      <c r="O31" s="81">
        <v>0.96</v>
      </c>
      <c r="P31" s="81">
        <f t="shared" si="5"/>
        <v>232.90559999999999</v>
      </c>
    </row>
    <row r="32" spans="1:21" x14ac:dyDescent="0.25">
      <c r="O32" s="81">
        <v>0.95</v>
      </c>
      <c r="P32" s="81">
        <f t="shared" si="5"/>
        <v>230.4795</v>
      </c>
    </row>
    <row r="33" spans="1:17" x14ac:dyDescent="0.25">
      <c r="O33" s="81">
        <v>0.94</v>
      </c>
      <c r="P33" s="81">
        <f t="shared" si="5"/>
        <v>228.05340000000001</v>
      </c>
    </row>
    <row r="34" spans="1:17" x14ac:dyDescent="0.25">
      <c r="O34" s="81">
        <v>0.93</v>
      </c>
      <c r="P34" s="81">
        <f t="shared" si="5"/>
        <v>225.62730000000002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497</v>
      </c>
      <c r="L35" s="220" t="s">
        <v>973</v>
      </c>
      <c r="O35" s="81">
        <v>0.92</v>
      </c>
      <c r="P35" s="81">
        <f t="shared" si="5"/>
        <v>223.20120000000003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6">C36*(E36-D36)</f>
        <v>277.80000000000058</v>
      </c>
      <c r="G36" s="39">
        <f t="shared" ref="G36" si="7">D36*C36</f>
        <v>5679.5999999999995</v>
      </c>
      <c r="H36" s="222">
        <f t="shared" ref="H36" si="8">(E36-D36)/D36</f>
        <v>4.8911895203887702E-2</v>
      </c>
      <c r="I36" s="39"/>
      <c r="J36" s="39"/>
      <c r="K36" s="39"/>
      <c r="L36" s="39"/>
      <c r="O36" s="81">
        <v>0.91</v>
      </c>
      <c r="P36" s="81">
        <f t="shared" si="5"/>
        <v>220.77510000000001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9">C37*(E37-D37)</f>
        <v>391.20000000000061</v>
      </c>
      <c r="G37" s="39">
        <f t="shared" ref="G37" si="10">D37*C37</f>
        <v>5679.5999999999995</v>
      </c>
      <c r="H37" s="222">
        <f t="shared" ref="H37" si="11">(E37-D37)/D37</f>
        <v>6.8878090006338585E-2</v>
      </c>
      <c r="I37" s="39"/>
      <c r="J37" s="39"/>
      <c r="K37" s="39"/>
      <c r="L37" s="39"/>
      <c r="O37" s="81">
        <v>0.9</v>
      </c>
      <c r="P37" s="81">
        <f t="shared" si="5"/>
        <v>218.34900000000002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2">C38*(E38-D38)</f>
        <v>1209.3000000000002</v>
      </c>
      <c r="G38" s="39">
        <f t="shared" ref="G38" si="13">D38*C38</f>
        <v>5679.5999999999995</v>
      </c>
      <c r="H38" s="222">
        <f t="shared" ref="H38" si="14">(E38-D38)/D38</f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5">C39*(E39-D39)</f>
        <v>1602.7500000000005</v>
      </c>
      <c r="G39" s="39">
        <f t="shared" ref="G39" si="16">D39*C39</f>
        <v>3299.6499999999996</v>
      </c>
      <c r="H39" s="222">
        <f t="shared" ref="H39" si="17">(E39-D39)/D39</f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8">C40*(E40-D40)</f>
        <v>1459.5500000000004</v>
      </c>
      <c r="G40" s="39">
        <f t="shared" ref="G40:G44" si="19">D40*C40</f>
        <v>3299.6499999999996</v>
      </c>
      <c r="H40" s="222">
        <f t="shared" ref="H40:H44" si="20">(E40-D40)/D40</f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8"/>
        <v>1307.5509999999999</v>
      </c>
      <c r="G41" s="39">
        <f t="shared" si="19"/>
        <v>6782.3489999999993</v>
      </c>
      <c r="H41" s="222">
        <f t="shared" si="20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8"/>
        <v>1487.77</v>
      </c>
      <c r="G42" s="39">
        <f t="shared" si="19"/>
        <v>3259.23</v>
      </c>
      <c r="H42" s="222">
        <f t="shared" si="20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8"/>
        <v>1457.9214999999999</v>
      </c>
      <c r="G43" s="39">
        <f t="shared" si="19"/>
        <v>6767.4285</v>
      </c>
      <c r="H43" s="222">
        <f t="shared" si="20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8"/>
        <v>1239.3180000000002</v>
      </c>
      <c r="G44" s="39">
        <f t="shared" si="19"/>
        <v>9056.232</v>
      </c>
      <c r="H44" s="222">
        <f t="shared" si="20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1">C45*(E45-D45)</f>
        <v>1037.7180000000008</v>
      </c>
      <c r="G45" s="39">
        <f t="shared" ref="G45:G50" si="22">D45*C45</f>
        <v>9056.232</v>
      </c>
      <c r="H45" s="222">
        <f t="shared" ref="H45:H50" si="23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1"/>
        <v>810.7000000000005</v>
      </c>
      <c r="G46" s="39">
        <f t="shared" si="22"/>
        <v>11256.3</v>
      </c>
      <c r="H46" s="222">
        <f t="shared" si="23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1"/>
        <v>1249.0000000000009</v>
      </c>
      <c r="G47" s="39">
        <f t="shared" si="22"/>
        <v>20610</v>
      </c>
      <c r="H47" s="222">
        <f t="shared" si="23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1"/>
        <v>1371.6999999999998</v>
      </c>
      <c r="G48" s="39">
        <f t="shared" si="22"/>
        <v>22668.800000000003</v>
      </c>
      <c r="H48" s="222">
        <f t="shared" si="23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1"/>
        <v>1246.3000000000013</v>
      </c>
      <c r="G49" s="39">
        <f t="shared" si="22"/>
        <v>10773.949999999999</v>
      </c>
      <c r="H49" s="222">
        <f t="shared" si="23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1"/>
        <v>869.19999999999789</v>
      </c>
      <c r="G50" s="39">
        <f t="shared" si="22"/>
        <v>20078.800000000003</v>
      </c>
      <c r="H50" s="222">
        <f t="shared" si="23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4">C51*(E51-D51)</f>
        <v>236.19999999999948</v>
      </c>
      <c r="G51" s="39">
        <f t="shared" ref="G51" si="25">D51*C51</f>
        <v>20078.800000000003</v>
      </c>
      <c r="H51" s="222">
        <f t="shared" ref="H51" si="26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7">C52*(E52-D52)</f>
        <v>632.20000000000027</v>
      </c>
      <c r="G52" s="39">
        <f t="shared" ref="G52:G54" si="28">D52*C52</f>
        <v>20078.800000000003</v>
      </c>
      <c r="H52" s="222">
        <f t="shared" ref="H52:H54" si="29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7"/>
        <v>-195.54600000000022</v>
      </c>
      <c r="G53" s="39">
        <f t="shared" si="28"/>
        <v>23072.495999999999</v>
      </c>
      <c r="H53" s="222">
        <f t="shared" si="29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7"/>
        <v>-650</v>
      </c>
      <c r="G54" s="39">
        <f t="shared" si="28"/>
        <v>25997.399999999998</v>
      </c>
      <c r="H54" s="222">
        <f t="shared" si="29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30">C55*(E55-D55)</f>
        <v>31.200000000001182</v>
      </c>
      <c r="G55" s="39">
        <f t="shared" ref="G55:G60" si="31">D55*C55</f>
        <v>25997.399999999998</v>
      </c>
      <c r="H55" s="222">
        <f t="shared" ref="H55:H60" si="32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30"/>
        <v>718.00000000000068</v>
      </c>
      <c r="G56" s="39">
        <f t="shared" si="31"/>
        <v>19832</v>
      </c>
      <c r="H56" s="222">
        <f t="shared" si="32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30"/>
        <v>1485.7500000000002</v>
      </c>
      <c r="G57" s="39">
        <f t="shared" si="31"/>
        <v>14502.75</v>
      </c>
      <c r="H57" s="222">
        <f t="shared" si="32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30"/>
        <v>1105.0000000000011</v>
      </c>
      <c r="G58" s="39">
        <f t="shared" si="31"/>
        <v>19735</v>
      </c>
      <c r="H58" s="222">
        <f t="shared" si="32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30"/>
        <v>2413.3999999999996</v>
      </c>
      <c r="G59" s="39">
        <f t="shared" si="31"/>
        <v>9790</v>
      </c>
      <c r="H59" s="222">
        <f t="shared" si="32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30"/>
        <v>2137.9999999999995</v>
      </c>
      <c r="G60" s="39">
        <f t="shared" si="31"/>
        <v>19550</v>
      </c>
      <c r="H60" s="222">
        <f t="shared" si="32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3">C61*(E61-D61)</f>
        <v>1240.0000000000005</v>
      </c>
      <c r="G61" s="39">
        <f t="shared" ref="G61" si="34">D61*C61</f>
        <v>19550</v>
      </c>
      <c r="H61" s="222">
        <f t="shared" ref="H61" si="35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6">C62*(E62-D62)</f>
        <v>941.99999999999875</v>
      </c>
      <c r="G62" s="39">
        <f t="shared" ref="G62:G68" si="37">D62*C62</f>
        <v>19550</v>
      </c>
      <c r="H62" s="222">
        <f t="shared" ref="H62:H68" si="38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6"/>
        <v>1630.3000000000015</v>
      </c>
      <c r="G63" s="39">
        <f t="shared" si="37"/>
        <v>13195.699999999999</v>
      </c>
      <c r="H63" s="222">
        <f t="shared" si="38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6"/>
        <v>1342.0000000000016</v>
      </c>
      <c r="G64" s="39">
        <f t="shared" si="37"/>
        <v>19426</v>
      </c>
      <c r="H64" s="222">
        <f t="shared" si="38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6"/>
        <v>1421.7000000000003</v>
      </c>
      <c r="G65" s="39">
        <f t="shared" si="37"/>
        <v>13156.5</v>
      </c>
      <c r="H65" s="222">
        <f t="shared" si="38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6"/>
        <v>3321.4500000000007</v>
      </c>
      <c r="G66" s="39">
        <f t="shared" si="37"/>
        <v>9625.5499999999993</v>
      </c>
      <c r="H66" s="222">
        <f t="shared" si="38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6"/>
        <v>3194.1000000000017</v>
      </c>
      <c r="G67" s="39">
        <f t="shared" si="37"/>
        <v>13121.5</v>
      </c>
      <c r="H67" s="222">
        <f t="shared" si="38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6"/>
        <v>3265.8999999999996</v>
      </c>
      <c r="G68" s="39">
        <f t="shared" si="37"/>
        <v>9586.5</v>
      </c>
      <c r="H68" s="222">
        <f t="shared" si="38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6"/>
        <v>3801.5505000000003</v>
      </c>
      <c r="G69" s="39">
        <f t="shared" ref="G69:G72" si="39">D69*C69</f>
        <v>7160.8995000000004</v>
      </c>
      <c r="H69" s="222">
        <f t="shared" ref="H69:H76" si="40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6"/>
        <v>4035.6000000000004</v>
      </c>
      <c r="G70" s="39">
        <f t="shared" si="39"/>
        <v>7160.8499999999995</v>
      </c>
      <c r="H70" s="222">
        <f t="shared" si="40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6"/>
        <v>4140.951</v>
      </c>
      <c r="G71" s="39">
        <f t="shared" si="39"/>
        <v>3397.4490000000001</v>
      </c>
      <c r="H71" s="222">
        <f t="shared" si="40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6"/>
        <v>3844.8000000000011</v>
      </c>
      <c r="G72" s="39">
        <f t="shared" si="39"/>
        <v>7027.65</v>
      </c>
      <c r="H72" s="222">
        <f t="shared" si="40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6" si="41">C73*(E73-D73)</f>
        <v>3594.6000000000013</v>
      </c>
      <c r="G73" s="39">
        <f t="shared" ref="G73:G76" si="42">D73*C73</f>
        <v>7027.65</v>
      </c>
      <c r="H73" s="222">
        <f t="shared" si="40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41"/>
        <v>3460.1999999999994</v>
      </c>
      <c r="G74" s="39">
        <f t="shared" si="42"/>
        <v>10492.2</v>
      </c>
      <c r="H74" s="222">
        <f t="shared" si="40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41"/>
        <v>3609.3015000000005</v>
      </c>
      <c r="G75" s="39">
        <f t="shared" si="42"/>
        <v>6965.6984999999995</v>
      </c>
      <c r="H75" s="222">
        <f t="shared" si="40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41"/>
        <v>4014.3</v>
      </c>
      <c r="G76" s="39">
        <f t="shared" si="42"/>
        <v>3305.7</v>
      </c>
      <c r="H76" s="222">
        <f t="shared" si="40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694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669</v>
      </c>
      <c r="L106" s="220" t="s">
        <v>675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 t="shared" ref="F107:F108" si="43">C107*(E107-D107)</f>
        <v>35.250000000000341</v>
      </c>
      <c r="G107" s="39">
        <f t="shared" ref="G107:G108" si="44">D107*C107</f>
        <v>3150.1499999999996</v>
      </c>
      <c r="H107" s="222">
        <f t="shared" ref="H107:H108" si="45"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 t="shared" si="43"/>
        <v>208.35000000000022</v>
      </c>
      <c r="G108" s="39">
        <f t="shared" si="44"/>
        <v>3150.1499999999996</v>
      </c>
      <c r="H108" s="222">
        <f t="shared" si="45"/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48" priority="43">
      <formula>F7&gt;0</formula>
    </cfRule>
    <cfRule type="expression" dxfId="1747" priority="44">
      <formula>F7&lt;0</formula>
    </cfRule>
  </conditionalFormatting>
  <conditionalFormatting sqref="Q8">
    <cfRule type="expression" dxfId="1746" priority="41">
      <formula>Q8&gt;0</formula>
    </cfRule>
    <cfRule type="expression" dxfId="1745" priority="42">
      <formula>Q8&lt;0</formula>
    </cfRule>
  </conditionalFormatting>
  <conditionalFormatting sqref="F41:F60">
    <cfRule type="expression" dxfId="1744" priority="39">
      <formula>F41&gt;0</formula>
    </cfRule>
    <cfRule type="expression" dxfId="1743" priority="40">
      <formula>F41&lt;0</formula>
    </cfRule>
  </conditionalFormatting>
  <conditionalFormatting sqref="H41:H60">
    <cfRule type="expression" dxfId="1742" priority="37">
      <formula>H41&gt;0</formula>
    </cfRule>
    <cfRule type="expression" dxfId="1741" priority="38">
      <formula>H41&lt;0</formula>
    </cfRule>
  </conditionalFormatting>
  <conditionalFormatting sqref="Q10">
    <cfRule type="expression" dxfId="1740" priority="31">
      <formula>Q10&gt;0</formula>
    </cfRule>
    <cfRule type="expression" dxfId="1739" priority="32">
      <formula>Q10&lt;0</formula>
    </cfRule>
  </conditionalFormatting>
  <conditionalFormatting sqref="J36:J60">
    <cfRule type="expression" dxfId="1738" priority="29">
      <formula>J36&gt;0</formula>
    </cfRule>
    <cfRule type="expression" dxfId="1737" priority="30">
      <formula>J36&lt;0</formula>
    </cfRule>
  </conditionalFormatting>
  <conditionalFormatting sqref="K36:K49">
    <cfRule type="expression" dxfId="1736" priority="27">
      <formula>K36&gt;0</formula>
    </cfRule>
    <cfRule type="expression" dxfId="1735" priority="28">
      <formula>K36&lt;0</formula>
    </cfRule>
  </conditionalFormatting>
  <conditionalFormatting sqref="L36:L49">
    <cfRule type="expression" dxfId="1734" priority="25">
      <formula>L36&gt;0</formula>
    </cfRule>
    <cfRule type="expression" dxfId="1733" priority="26">
      <formula>L36&lt;0</formula>
    </cfRule>
  </conditionalFormatting>
  <conditionalFormatting sqref="F107:F128">
    <cfRule type="expression" dxfId="1732" priority="23">
      <formula>F107&gt;0</formula>
    </cfRule>
    <cfRule type="expression" dxfId="1731" priority="24">
      <formula>F107&lt;0</formula>
    </cfRule>
  </conditionalFormatting>
  <conditionalFormatting sqref="H107:H128">
    <cfRule type="expression" dxfId="1730" priority="21">
      <formula>H107&gt;0</formula>
    </cfRule>
    <cfRule type="expression" dxfId="1729" priority="22">
      <formula>H107&lt;0</formula>
    </cfRule>
  </conditionalFormatting>
  <conditionalFormatting sqref="J107:J120">
    <cfRule type="expression" dxfId="1728" priority="19">
      <formula>J107&gt;0</formula>
    </cfRule>
    <cfRule type="expression" dxfId="1727" priority="20">
      <formula>J107&lt;0</formula>
    </cfRule>
  </conditionalFormatting>
  <conditionalFormatting sqref="K107:K120">
    <cfRule type="expression" dxfId="1726" priority="17">
      <formula>K107&gt;0</formula>
    </cfRule>
    <cfRule type="expression" dxfId="1725" priority="18">
      <formula>K107&lt;0</formula>
    </cfRule>
  </conditionalFormatting>
  <conditionalFormatting sqref="L107:L120">
    <cfRule type="expression" dxfId="1724" priority="15">
      <formula>L107&gt;0</formula>
    </cfRule>
    <cfRule type="expression" dxfId="1723" priority="16">
      <formula>L107&lt;0</formula>
    </cfRule>
  </conditionalFormatting>
  <conditionalFormatting sqref="F36:F40">
    <cfRule type="expression" dxfId="1722" priority="13">
      <formula>F36&gt;0</formula>
    </cfRule>
    <cfRule type="expression" dxfId="1721" priority="14">
      <formula>F36&lt;0</formula>
    </cfRule>
  </conditionalFormatting>
  <conditionalFormatting sqref="H36:H40">
    <cfRule type="expression" dxfId="1720" priority="11">
      <formula>H36&gt;0</formula>
    </cfRule>
    <cfRule type="expression" dxfId="1719" priority="12">
      <formula>H36&lt;0</formula>
    </cfRule>
  </conditionalFormatting>
  <conditionalFormatting sqref="F61:F62">
    <cfRule type="expression" dxfId="1718" priority="9">
      <formula>F61&gt;0</formula>
    </cfRule>
    <cfRule type="expression" dxfId="1717" priority="10">
      <formula>F61&lt;0</formula>
    </cfRule>
  </conditionalFormatting>
  <conditionalFormatting sqref="H61:H62">
    <cfRule type="expression" dxfId="1716" priority="7">
      <formula>H61&gt;0</formula>
    </cfRule>
    <cfRule type="expression" dxfId="1715" priority="8">
      <formula>H61&lt;0</formula>
    </cfRule>
  </conditionalFormatting>
  <conditionalFormatting sqref="J61:J62">
    <cfRule type="expression" dxfId="1714" priority="5">
      <formula>J61&gt;0</formula>
    </cfRule>
    <cfRule type="expression" dxfId="1713" priority="6">
      <formula>J61&lt;0</formula>
    </cfRule>
  </conditionalFormatting>
  <conditionalFormatting sqref="J74:J75 H74:H75 F74:F75">
    <cfRule type="expression" dxfId="1712" priority="3">
      <formula>F74&gt;0</formula>
    </cfRule>
    <cfRule type="expression" dxfId="1711" priority="4">
      <formula>F74&lt;0</formula>
    </cfRule>
  </conditionalFormatting>
  <conditionalFormatting sqref="J76:J79 H76:H79 F76:F79">
    <cfRule type="expression" dxfId="1710" priority="1">
      <formula>F76&gt;0</formula>
    </cfRule>
    <cfRule type="expression" dxfId="1709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903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98.72</v>
      </c>
      <c r="T3" s="1"/>
      <c r="U3" t="s">
        <v>904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98.72</v>
      </c>
      <c r="R4" s="495">
        <v>5.1999999999999998E-3</v>
      </c>
      <c r="T4" s="1"/>
      <c r="U4" t="s">
        <v>905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906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">
        <v>43203</v>
      </c>
      <c r="U9" t="s">
        <v>1004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6.8881685575364676E-3</v>
      </c>
      <c r="R11">
        <v>0.17</v>
      </c>
      <c r="W11" s="134"/>
    </row>
    <row r="12" spans="1:23" x14ac:dyDescent="0.25">
      <c r="H12" s="70"/>
      <c r="O12" s="11" t="s">
        <v>995</v>
      </c>
      <c r="Q12" s="1"/>
      <c r="W12" s="134"/>
    </row>
    <row r="13" spans="1:23" x14ac:dyDescent="0.25">
      <c r="H13" s="70"/>
      <c r="O13" s="11" t="s">
        <v>973</v>
      </c>
      <c r="Q13">
        <f>Q4/4.75</f>
        <v>20.783157894736842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108.59200000000001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107.60480000000001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106.61760000000001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105.63040000000001</v>
      </c>
      <c r="W19" s="134"/>
    </row>
    <row r="20" spans="1:23" x14ac:dyDescent="0.25">
      <c r="O20" s="81">
        <v>1.06</v>
      </c>
      <c r="P20" s="81">
        <f t="shared" si="0"/>
        <v>104.64320000000001</v>
      </c>
      <c r="W20" s="134"/>
    </row>
    <row r="21" spans="1:23" x14ac:dyDescent="0.25">
      <c r="O21" s="81">
        <v>1.05</v>
      </c>
      <c r="P21" s="81">
        <f t="shared" si="0"/>
        <v>103.65600000000001</v>
      </c>
      <c r="W21" s="134"/>
    </row>
    <row r="22" spans="1:23" x14ac:dyDescent="0.25">
      <c r="O22" s="81">
        <v>1.04</v>
      </c>
      <c r="P22" s="81">
        <f t="shared" si="0"/>
        <v>102.6688</v>
      </c>
      <c r="W22" s="134"/>
    </row>
    <row r="23" spans="1:23" x14ac:dyDescent="0.25">
      <c r="O23" s="81">
        <v>1.03</v>
      </c>
      <c r="P23" s="81">
        <f t="shared" si="0"/>
        <v>101.6816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O24" s="81">
        <v>1.02</v>
      </c>
      <c r="P24" s="81">
        <f t="shared" si="0"/>
        <v>100.6944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99.7072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98.72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97.732799999999997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96.745599999999996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95.758399999999995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94.771199999999993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93.783999999999992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92.79679999999999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91.809600000000003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90.822400000000002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89.8352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88.847999999999999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08" priority="21">
      <formula>F47&gt;0</formula>
    </cfRule>
    <cfRule type="expression" dxfId="1707" priority="22">
      <formula>F47&lt;0</formula>
    </cfRule>
  </conditionalFormatting>
  <conditionalFormatting sqref="Q7">
    <cfRule type="expression" dxfId="1706" priority="19">
      <formula>Q7&gt;0</formula>
    </cfRule>
    <cfRule type="expression" dxfId="1705" priority="20">
      <formula>Q7&lt;0</formula>
    </cfRule>
  </conditionalFormatting>
  <conditionalFormatting sqref="Q8">
    <cfRule type="expression" dxfId="1704" priority="17">
      <formula>Q8&gt;0</formula>
    </cfRule>
    <cfRule type="expression" dxfId="1703" priority="18">
      <formula>Q8&lt;0</formula>
    </cfRule>
  </conditionalFormatting>
  <conditionalFormatting sqref="F25:F46">
    <cfRule type="expression" dxfId="1702" priority="15">
      <formula>F25&gt;0</formula>
    </cfRule>
    <cfRule type="expression" dxfId="1701" priority="16">
      <formula>F25&lt;0</formula>
    </cfRule>
  </conditionalFormatting>
  <conditionalFormatting sqref="H25:H46">
    <cfRule type="expression" dxfId="1700" priority="13">
      <formula>H25&gt;0</formula>
    </cfRule>
    <cfRule type="expression" dxfId="1699" priority="14">
      <formula>H25&lt;0</formula>
    </cfRule>
  </conditionalFormatting>
  <conditionalFormatting sqref="F89:F110">
    <cfRule type="expression" dxfId="1698" priority="11">
      <formula>F89&gt;0</formula>
    </cfRule>
    <cfRule type="expression" dxfId="1697" priority="12">
      <formula>F89&lt;0</formula>
    </cfRule>
  </conditionalFormatting>
  <conditionalFormatting sqref="H89:H110">
    <cfRule type="expression" dxfId="1696" priority="9">
      <formula>H89&gt;0</formula>
    </cfRule>
    <cfRule type="expression" dxfId="1695" priority="10">
      <formula>H89&lt;0</formula>
    </cfRule>
  </conditionalFormatting>
  <conditionalFormatting sqref="Q10">
    <cfRule type="expression" dxfId="1694" priority="7">
      <formula>Q10&gt;0</formula>
    </cfRule>
    <cfRule type="expression" dxfId="1693" priority="8">
      <formula>Q10&lt;0</formula>
    </cfRule>
  </conditionalFormatting>
  <conditionalFormatting sqref="J25:J38">
    <cfRule type="expression" dxfId="1692" priority="5">
      <formula>J25&gt;0</formula>
    </cfRule>
    <cfRule type="expression" dxfId="1691" priority="6">
      <formula>J25&lt;0</formula>
    </cfRule>
  </conditionalFormatting>
  <conditionalFormatting sqref="K25:K38">
    <cfRule type="expression" dxfId="1690" priority="3">
      <formula>K25&gt;0</formula>
    </cfRule>
    <cfRule type="expression" dxfId="1689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826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135.86000000000001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135.86000000000001</v>
      </c>
      <c r="R4" s="495">
        <v>6.3E-3</v>
      </c>
      <c r="T4" s="29">
        <v>42738</v>
      </c>
      <c r="U4" t="s">
        <v>825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852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858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208</v>
      </c>
      <c r="Q9" s="134">
        <f>IF(Q2=0, 0, Q8/Q6)</f>
        <v>0</v>
      </c>
      <c r="T9" s="29">
        <v>43114</v>
      </c>
      <c r="U9" t="s">
        <v>879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207</v>
      </c>
      <c r="P10" s="33"/>
      <c r="Q10" s="2">
        <f>M70</f>
        <v>0</v>
      </c>
      <c r="U10" t="s">
        <v>880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995</v>
      </c>
      <c r="Q12" s="29"/>
      <c r="T12" s="29">
        <v>43193</v>
      </c>
      <c r="U12" t="s">
        <v>966</v>
      </c>
    </row>
    <row r="13" spans="1:21" x14ac:dyDescent="0.25">
      <c r="C13" s="4"/>
      <c r="D13" s="3"/>
      <c r="E13" s="3"/>
      <c r="F13" s="3"/>
      <c r="H13" s="70"/>
      <c r="O13" s="11" t="s">
        <v>973</v>
      </c>
      <c r="Q13">
        <f>Q4/6.69</f>
        <v>20.307922272047833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149.44600000000003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148.08740000000003</v>
      </c>
      <c r="Q19" s="2"/>
    </row>
    <row r="20" spans="1:17" x14ac:dyDescent="0.25">
      <c r="O20" s="81">
        <v>1.08</v>
      </c>
      <c r="P20" s="81">
        <f t="shared" si="3"/>
        <v>146.72880000000004</v>
      </c>
      <c r="Q20" s="2"/>
    </row>
    <row r="21" spans="1:17" x14ac:dyDescent="0.25">
      <c r="O21" s="81">
        <v>1.07</v>
      </c>
      <c r="P21" s="81">
        <f t="shared" si="3"/>
        <v>145.37020000000001</v>
      </c>
      <c r="Q21" s="2"/>
    </row>
    <row r="22" spans="1:17" x14ac:dyDescent="0.25">
      <c r="O22" s="81">
        <v>1.06</v>
      </c>
      <c r="P22" s="81">
        <f t="shared" si="3"/>
        <v>144.01160000000002</v>
      </c>
      <c r="Q22" s="2"/>
    </row>
    <row r="23" spans="1:17" x14ac:dyDescent="0.25">
      <c r="O23" s="81">
        <v>1.05</v>
      </c>
      <c r="P23" s="81">
        <f t="shared" si="3"/>
        <v>142.65300000000002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M24" s="220" t="s">
        <v>70</v>
      </c>
      <c r="O24" s="81">
        <v>1.04</v>
      </c>
      <c r="P24" s="81">
        <f t="shared" si="3"/>
        <v>141.29440000000002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139.93580000000003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138.5772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137.21860000000001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135.86000000000001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134.50140000000002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133.14280000000002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131.7842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130.4256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129.06700000000001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127.70840000000001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126.34980000000002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124.99120000000002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123.63260000000001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122.27400000000002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857</v>
      </c>
      <c r="J47" s="39"/>
      <c r="K47" s="39"/>
      <c r="L47" s="39">
        <v>74.34</v>
      </c>
      <c r="M47" s="39" t="s">
        <v>878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940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88" priority="25">
      <formula>F7&gt;0</formula>
    </cfRule>
    <cfRule type="expression" dxfId="1687" priority="26">
      <formula>F7&lt;0</formula>
    </cfRule>
  </conditionalFormatting>
  <conditionalFormatting sqref="Q8">
    <cfRule type="expression" dxfId="1686" priority="23">
      <formula>Q8&gt;0</formula>
    </cfRule>
    <cfRule type="expression" dxfId="1685" priority="24">
      <formula>Q8&lt;0</formula>
    </cfRule>
  </conditionalFormatting>
  <conditionalFormatting sqref="F93:F114">
    <cfRule type="expression" dxfId="1684" priority="17">
      <formula>F93&gt;0</formula>
    </cfRule>
    <cfRule type="expression" dxfId="1683" priority="18">
      <formula>F93&lt;0</formula>
    </cfRule>
  </conditionalFormatting>
  <conditionalFormatting sqref="H93:H114">
    <cfRule type="expression" dxfId="1682" priority="15">
      <formula>H93&gt;0</formula>
    </cfRule>
    <cfRule type="expression" dxfId="1681" priority="16">
      <formula>H93&lt;0</formula>
    </cfRule>
  </conditionalFormatting>
  <conditionalFormatting sqref="Q10">
    <cfRule type="expression" dxfId="1680" priority="13">
      <formula>Q10&gt;0</formula>
    </cfRule>
    <cfRule type="expression" dxfId="1679" priority="14">
      <formula>Q10&lt;0</formula>
    </cfRule>
  </conditionalFormatting>
  <conditionalFormatting sqref="J25:J38">
    <cfRule type="expression" dxfId="1678" priority="11">
      <formula>J25&gt;0</formula>
    </cfRule>
    <cfRule type="expression" dxfId="1677" priority="12">
      <formula>J25&lt;0</formula>
    </cfRule>
  </conditionalFormatting>
  <conditionalFormatting sqref="K25:K38">
    <cfRule type="expression" dxfId="1676" priority="9">
      <formula>K25&gt;0</formula>
    </cfRule>
    <cfRule type="expression" dxfId="1675" priority="10">
      <formula>K25&lt;0</formula>
    </cfRule>
  </conditionalFormatting>
  <conditionalFormatting sqref="L25:L34">
    <cfRule type="expression" dxfId="1674" priority="7">
      <formula>L25&gt;0</formula>
    </cfRule>
    <cfRule type="expression" dxfId="1673" priority="8">
      <formula>L25&lt;0</formula>
    </cfRule>
  </conditionalFormatting>
  <conditionalFormatting sqref="J43">
    <cfRule type="expression" dxfId="1672" priority="5">
      <formula>J43&gt;0</formula>
    </cfRule>
    <cfRule type="expression" dxfId="1671" priority="6">
      <formula>J43&lt;0</formula>
    </cfRule>
  </conditionalFormatting>
  <conditionalFormatting sqref="M25:M34">
    <cfRule type="expression" dxfId="1670" priority="3">
      <formula>M25&gt;0</formula>
    </cfRule>
    <cfRule type="expression" dxfId="1669" priority="4">
      <formula>M25&lt;0</formula>
    </cfRule>
  </conditionalFormatting>
  <conditionalFormatting sqref="H61:H64 F61:F64">
    <cfRule type="expression" dxfId="1668" priority="1">
      <formula>F61&gt;0</formula>
    </cfRule>
    <cfRule type="expression" dxfId="166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H5" sqref="H5:K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1027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33.58</v>
      </c>
      <c r="R4" s="495">
        <v>8.9999999999999998E-4</v>
      </c>
      <c r="T4" s="770"/>
      <c r="U4" s="30" t="s">
        <v>1028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8395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274.86999999999898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274.86999999999898</v>
      </c>
      <c r="T8" s="1">
        <v>43228</v>
      </c>
      <c r="U8" t="s">
        <v>1071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3.3850443281080347E-2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1037</v>
      </c>
    </row>
    <row r="12" spans="1:21" x14ac:dyDescent="0.25">
      <c r="H12" s="70"/>
      <c r="O12" s="11" t="s">
        <v>995</v>
      </c>
      <c r="Q12" s="1"/>
      <c r="T12" s="67"/>
    </row>
    <row r="13" spans="1:21" x14ac:dyDescent="0.25">
      <c r="H13" s="70"/>
      <c r="O13" s="11" t="s">
        <v>973</v>
      </c>
      <c r="Q13">
        <f>Q4/2.5</f>
        <v>13.431999999999999</v>
      </c>
      <c r="T13" s="156">
        <v>43263</v>
      </c>
      <c r="U13" t="s">
        <v>1116</v>
      </c>
    </row>
    <row r="14" spans="1:21" x14ac:dyDescent="0.25">
      <c r="H14" s="70"/>
      <c r="O14" s="11" t="s">
        <v>1111</v>
      </c>
    </row>
    <row r="15" spans="1:21" x14ac:dyDescent="0.25">
      <c r="H15" s="70"/>
      <c r="O15" s="11" t="s">
        <v>1040</v>
      </c>
      <c r="Q15" s="1">
        <v>43218</v>
      </c>
      <c r="T15" s="1">
        <v>43271</v>
      </c>
      <c r="U15" t="s">
        <v>1139</v>
      </c>
    </row>
    <row r="16" spans="1:21" x14ac:dyDescent="0.25">
      <c r="H16" s="70"/>
    </row>
    <row r="17" spans="1:21" x14ac:dyDescent="0.25">
      <c r="T17" s="1">
        <v>43308</v>
      </c>
      <c r="U17" t="s">
        <v>1172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36.938000000000002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2">O24*$Q$4</f>
        <v>36.602200000000003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36.266399999999997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35.930599999999998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35.594799999999999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35.259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34.923200000000001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34.587400000000002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34.251599999999996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33.915799999999997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33.58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8" si="15">C34*(E34-D34)</f>
        <v>-315.00000000000125</v>
      </c>
      <c r="G34" s="39">
        <f t="shared" ref="G34:G38" si="16">D34*C34</f>
        <v>9939</v>
      </c>
      <c r="H34" s="222">
        <f t="shared" ref="H34:H38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33.244199999999999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1135</v>
      </c>
      <c r="J35" s="39"/>
      <c r="K35" s="39">
        <v>13.53</v>
      </c>
      <c r="L35" s="155"/>
      <c r="O35" s="81">
        <v>0.98</v>
      </c>
      <c r="P35" s="81">
        <f t="shared" si="2"/>
        <v>32.9084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1135</v>
      </c>
      <c r="J36" s="39"/>
      <c r="K36" s="39">
        <v>13.03</v>
      </c>
      <c r="L36" s="39"/>
      <c r="O36" s="81">
        <v>0.97</v>
      </c>
      <c r="P36" s="81">
        <f t="shared" si="2"/>
        <v>32.572599999999994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32.236799999999995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15"/>
        <v>-47.625000000000028</v>
      </c>
      <c r="G38" s="39">
        <f t="shared" si="16"/>
        <v>8120.125</v>
      </c>
      <c r="H38" s="222">
        <f t="shared" si="1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31.900999999999996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31.565199999999997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31.229400000000002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30.893599999999999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30.5578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30.221999999999998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6" priority="33">
      <formula>F47&gt;0</formula>
    </cfRule>
    <cfRule type="expression" dxfId="1665" priority="34">
      <formula>F47&lt;0</formula>
    </cfRule>
  </conditionalFormatting>
  <conditionalFormatting sqref="Q7">
    <cfRule type="expression" dxfId="1664" priority="31">
      <formula>Q7&gt;0</formula>
    </cfRule>
    <cfRule type="expression" dxfId="1663" priority="32">
      <formula>Q7&lt;0</formula>
    </cfRule>
  </conditionalFormatting>
  <conditionalFormatting sqref="Q8">
    <cfRule type="expression" dxfId="1662" priority="29">
      <formula>Q8&gt;0</formula>
    </cfRule>
    <cfRule type="expression" dxfId="1661" priority="30">
      <formula>Q8&lt;0</formula>
    </cfRule>
  </conditionalFormatting>
  <conditionalFormatting sqref="F30:F46">
    <cfRule type="expression" dxfId="1660" priority="27">
      <formula>F30&gt;0</formula>
    </cfRule>
    <cfRule type="expression" dxfId="1659" priority="28">
      <formula>F30&lt;0</formula>
    </cfRule>
  </conditionalFormatting>
  <conditionalFormatting sqref="H30:H46">
    <cfRule type="expression" dxfId="1658" priority="25">
      <formula>H30&gt;0</formula>
    </cfRule>
    <cfRule type="expression" dxfId="1657" priority="26">
      <formula>H30&lt;0</formula>
    </cfRule>
  </conditionalFormatting>
  <conditionalFormatting sqref="Q10">
    <cfRule type="expression" dxfId="1656" priority="23">
      <formula>Q10&gt;0</formula>
    </cfRule>
    <cfRule type="expression" dxfId="1655" priority="24">
      <formula>Q10&lt;0</formula>
    </cfRule>
  </conditionalFormatting>
  <conditionalFormatting sqref="J25:J38">
    <cfRule type="expression" dxfId="1654" priority="21">
      <formula>J25&gt;0</formula>
    </cfRule>
    <cfRule type="expression" dxfId="1653" priority="22">
      <formula>J25&lt;0</formula>
    </cfRule>
  </conditionalFormatting>
  <conditionalFormatting sqref="K25:K33">
    <cfRule type="expression" dxfId="1652" priority="19">
      <formula>K25&gt;0</formula>
    </cfRule>
    <cfRule type="expression" dxfId="1651" priority="20">
      <formula>K25&lt;0</formula>
    </cfRule>
  </conditionalFormatting>
  <conditionalFormatting sqref="L25:L38">
    <cfRule type="expression" dxfId="1650" priority="17">
      <formula>L25&gt;0</formula>
    </cfRule>
    <cfRule type="expression" dxfId="1649" priority="18">
      <formula>L25&lt;0</formula>
    </cfRule>
  </conditionalFormatting>
  <conditionalFormatting sqref="F89:F110">
    <cfRule type="expression" dxfId="1648" priority="15">
      <formula>F89&gt;0</formula>
    </cfRule>
    <cfRule type="expression" dxfId="1647" priority="16">
      <formula>F89&lt;0</formula>
    </cfRule>
  </conditionalFormatting>
  <conditionalFormatting sqref="H89:H110">
    <cfRule type="expression" dxfId="1646" priority="13">
      <formula>H89&gt;0</formula>
    </cfRule>
    <cfRule type="expression" dxfId="1645" priority="14">
      <formula>H89&lt;0</formula>
    </cfRule>
  </conditionalFormatting>
  <conditionalFormatting sqref="J89:J102">
    <cfRule type="expression" dxfId="1644" priority="11">
      <formula>J89&gt;0</formula>
    </cfRule>
    <cfRule type="expression" dxfId="1643" priority="12">
      <formula>J89&lt;0</formula>
    </cfRule>
  </conditionalFormatting>
  <conditionalFormatting sqref="K89:K102">
    <cfRule type="expression" dxfId="1642" priority="9">
      <formula>K89&gt;0</formula>
    </cfRule>
    <cfRule type="expression" dxfId="1641" priority="10">
      <formula>K89&lt;0</formula>
    </cfRule>
  </conditionalFormatting>
  <conditionalFormatting sqref="L89:L102">
    <cfRule type="expression" dxfId="1640" priority="7">
      <formula>L89&gt;0</formula>
    </cfRule>
    <cfRule type="expression" dxfId="1639" priority="8">
      <formula>L89&lt;0</formula>
    </cfRule>
  </conditionalFormatting>
  <conditionalFormatting sqref="F25:F29">
    <cfRule type="expression" dxfId="1638" priority="5">
      <formula>F25&gt;0</formula>
    </cfRule>
    <cfRule type="expression" dxfId="1637" priority="6">
      <formula>F25&lt;0</formula>
    </cfRule>
  </conditionalFormatting>
  <conditionalFormatting sqref="H25:H29">
    <cfRule type="expression" dxfId="1636" priority="3">
      <formula>H25&gt;0</formula>
    </cfRule>
    <cfRule type="expression" dxfId="1635" priority="4">
      <formula>H25&lt;0</formula>
    </cfRule>
  </conditionalFormatting>
  <conditionalFormatting sqref="F29">
    <cfRule type="expression" dxfId="1634" priority="1">
      <formula>F29&gt;0</formula>
    </cfRule>
    <cfRule type="expression" dxfId="163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98.58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98.58</v>
      </c>
      <c r="R4" s="495">
        <v>6.1000000000000004E-3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6.492189085007101E-3</v>
      </c>
      <c r="R11">
        <v>0.16</v>
      </c>
    </row>
    <row r="12" spans="1:21" x14ac:dyDescent="0.25">
      <c r="H12" s="70"/>
      <c r="O12" s="11" t="s">
        <v>995</v>
      </c>
      <c r="Q12" s="1"/>
    </row>
    <row r="13" spans="1:21" x14ac:dyDescent="0.25">
      <c r="H13" s="70"/>
      <c r="O13" s="11" t="s">
        <v>973</v>
      </c>
      <c r="Q13" s="2">
        <f>Q4/7.38</f>
        <v>13.357723577235772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108.438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107.4522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106.46640000000001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105.48060000000001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104.4948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103.509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102.5232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101.53740000000001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100.55159999999999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99.565799999999996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98.58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97.594200000000001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96.608400000000003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95.622599999999991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94.636799999999994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93.650999999999996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92.665199999999999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91.679400000000001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90.693600000000004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89.707800000000006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88.721999999999994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2" priority="31">
      <formula>F47&gt;0</formula>
    </cfRule>
    <cfRule type="expression" dxfId="1631" priority="32">
      <formula>F47&lt;0</formula>
    </cfRule>
  </conditionalFormatting>
  <conditionalFormatting sqref="Q7">
    <cfRule type="expression" dxfId="1630" priority="29">
      <formula>Q7&gt;0</formula>
    </cfRule>
    <cfRule type="expression" dxfId="1629" priority="30">
      <formula>Q7&lt;0</formula>
    </cfRule>
  </conditionalFormatting>
  <conditionalFormatting sqref="Q8">
    <cfRule type="expression" dxfId="1628" priority="27">
      <formula>Q8&gt;0</formula>
    </cfRule>
    <cfRule type="expression" dxfId="1627" priority="28">
      <formula>Q8&lt;0</formula>
    </cfRule>
  </conditionalFormatting>
  <conditionalFormatting sqref="F30:F46">
    <cfRule type="expression" dxfId="1626" priority="25">
      <formula>F30&gt;0</formula>
    </cfRule>
    <cfRule type="expression" dxfId="1625" priority="26">
      <formula>F30&lt;0</formula>
    </cfRule>
  </conditionalFormatting>
  <conditionalFormatting sqref="H30:H46">
    <cfRule type="expression" dxfId="1624" priority="23">
      <formula>H30&gt;0</formula>
    </cfRule>
    <cfRule type="expression" dxfId="1623" priority="24">
      <formula>H30&lt;0</formula>
    </cfRule>
  </conditionalFormatting>
  <conditionalFormatting sqref="Q10">
    <cfRule type="expression" dxfId="1622" priority="21">
      <formula>Q10&gt;0</formula>
    </cfRule>
    <cfRule type="expression" dxfId="1621" priority="22">
      <formula>Q10&lt;0</formula>
    </cfRule>
  </conditionalFormatting>
  <conditionalFormatting sqref="J25:J38">
    <cfRule type="expression" dxfId="1620" priority="19">
      <formula>J25&gt;0</formula>
    </cfRule>
    <cfRule type="expression" dxfId="1619" priority="20">
      <formula>J25&lt;0</formula>
    </cfRule>
  </conditionalFormatting>
  <conditionalFormatting sqref="K25:K38">
    <cfRule type="expression" dxfId="1618" priority="17">
      <formula>K25&gt;0</formula>
    </cfRule>
    <cfRule type="expression" dxfId="1617" priority="18">
      <formula>K25&lt;0</formula>
    </cfRule>
  </conditionalFormatting>
  <conditionalFormatting sqref="L25:L38">
    <cfRule type="expression" dxfId="1616" priority="15">
      <formula>L25&gt;0</formula>
    </cfRule>
    <cfRule type="expression" dxfId="1615" priority="16">
      <formula>L25&lt;0</formula>
    </cfRule>
  </conditionalFormatting>
  <conditionalFormatting sqref="F89:F110">
    <cfRule type="expression" dxfId="1614" priority="13">
      <formula>F89&gt;0</formula>
    </cfRule>
    <cfRule type="expression" dxfId="1613" priority="14">
      <formula>F89&lt;0</formula>
    </cfRule>
  </conditionalFormatting>
  <conditionalFormatting sqref="H89:H110">
    <cfRule type="expression" dxfId="1612" priority="11">
      <formula>H89&gt;0</formula>
    </cfRule>
    <cfRule type="expression" dxfId="1611" priority="12">
      <formula>H89&lt;0</formula>
    </cfRule>
  </conditionalFormatting>
  <conditionalFormatting sqref="J89:J102">
    <cfRule type="expression" dxfId="1610" priority="9">
      <formula>J89&gt;0</formula>
    </cfRule>
    <cfRule type="expression" dxfId="1609" priority="10">
      <formula>J89&lt;0</formula>
    </cfRule>
  </conditionalFormatting>
  <conditionalFormatting sqref="K89:K102">
    <cfRule type="expression" dxfId="1608" priority="7">
      <formula>K89&gt;0</formula>
    </cfRule>
    <cfRule type="expression" dxfId="1607" priority="8">
      <formula>K89&lt;0</formula>
    </cfRule>
  </conditionalFormatting>
  <conditionalFormatting sqref="L89:L102">
    <cfRule type="expression" dxfId="1606" priority="5">
      <formula>L89&gt;0</formula>
    </cfRule>
    <cfRule type="expression" dxfId="1605" priority="6">
      <formula>L89&lt;0</formula>
    </cfRule>
  </conditionalFormatting>
  <conditionalFormatting sqref="F25:F29">
    <cfRule type="expression" dxfId="1604" priority="3">
      <formula>F25&gt;0</formula>
    </cfRule>
    <cfRule type="expression" dxfId="1603" priority="4">
      <formula>F25&lt;0</formula>
    </cfRule>
  </conditionalFormatting>
  <conditionalFormatting sqref="H25:H29">
    <cfRule type="expression" dxfId="1602" priority="1">
      <formula>H25&gt;0</formula>
    </cfRule>
    <cfRule type="expression" dxfId="16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4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/>
      <c r="M2" s="3"/>
      <c r="O2" s="11" t="s">
        <v>57</v>
      </c>
      <c r="Q2">
        <f>C18-H18</f>
        <v>150</v>
      </c>
      <c r="T2" s="1"/>
      <c r="U2" t="s">
        <v>1168</v>
      </c>
    </row>
    <row r="3" spans="1:21" x14ac:dyDescent="0.25">
      <c r="A3" s="22" t="s">
        <v>71</v>
      </c>
      <c r="B3" s="434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58.980266666666672</v>
      </c>
      <c r="T3" s="1"/>
    </row>
    <row r="4" spans="1:21" x14ac:dyDescent="0.25">
      <c r="B4" s="47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58.29</v>
      </c>
      <c r="R4" s="495">
        <v>2.07E-2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8743.5</v>
      </c>
      <c r="T5" s="1">
        <v>43209</v>
      </c>
      <c r="U5" t="s">
        <v>1007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8847.0400000000009</v>
      </c>
      <c r="U6" t="s">
        <v>1008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-103.54000000000087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-103.54000000000087</v>
      </c>
      <c r="T8" s="1">
        <v>43216</v>
      </c>
      <c r="U8" t="s">
        <v>1033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-1.1703349368828542E-2</v>
      </c>
      <c r="T9" s="156"/>
      <c r="U9" t="s">
        <v>1034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4.5290787442099849E-2</v>
      </c>
      <c r="R11">
        <f>0.22</f>
        <v>0.22</v>
      </c>
      <c r="T11" s="1">
        <v>43285</v>
      </c>
      <c r="U11" t="s">
        <v>1167</v>
      </c>
    </row>
    <row r="12" spans="1:21" x14ac:dyDescent="0.25">
      <c r="H12" s="70"/>
      <c r="O12" s="11" t="s">
        <v>946</v>
      </c>
      <c r="Q12" s="1" t="s">
        <v>1138</v>
      </c>
    </row>
    <row r="13" spans="1:21" x14ac:dyDescent="0.25">
      <c r="H13" s="70"/>
      <c r="O13" s="11" t="s">
        <v>973</v>
      </c>
      <c r="Q13" s="2">
        <f>Q4/(3.9+4.03)*2</f>
        <v>14.701134930643128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64.119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11766</v>
      </c>
      <c r="G18" s="14"/>
      <c r="H18" s="71">
        <f>SUM(H2:H5)</f>
        <v>50</v>
      </c>
      <c r="I18" s="18"/>
      <c r="J18" s="18"/>
      <c r="K18" s="18">
        <f>SUM(K2:K5)</f>
        <v>2918.96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63.536100000000005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2790</v>
      </c>
      <c r="G19" s="343"/>
      <c r="H19" s="343">
        <f>SumByColor($A$19,H2:H17)</f>
        <v>50</v>
      </c>
      <c r="I19" s="343"/>
      <c r="J19" s="343"/>
      <c r="K19" s="344">
        <f>SumByColor($A$19,K2:K17)</f>
        <v>2919</v>
      </c>
      <c r="L19" s="343"/>
      <c r="M19" s="344">
        <f>SumByColor($A$19,M2:M17)</f>
        <v>0</v>
      </c>
      <c r="O19" s="81">
        <v>1.08</v>
      </c>
      <c r="P19" s="81">
        <f t="shared" si="1"/>
        <v>62.953200000000002</v>
      </c>
    </row>
    <row r="20" spans="1:16" x14ac:dyDescent="0.25">
      <c r="O20" s="81">
        <v>1.07</v>
      </c>
      <c r="P20" s="81">
        <f t="shared" si="1"/>
        <v>62.3703</v>
      </c>
    </row>
    <row r="21" spans="1:16" x14ac:dyDescent="0.25">
      <c r="O21" s="81">
        <v>1.06</v>
      </c>
      <c r="P21" s="81">
        <f t="shared" si="1"/>
        <v>61.787400000000005</v>
      </c>
    </row>
    <row r="22" spans="1:16" x14ac:dyDescent="0.25">
      <c r="O22" s="81">
        <v>1.05</v>
      </c>
      <c r="P22" s="81">
        <f t="shared" si="1"/>
        <v>61.204500000000003</v>
      </c>
    </row>
    <row r="23" spans="1:16" x14ac:dyDescent="0.25">
      <c r="O23" s="81">
        <v>1.04</v>
      </c>
      <c r="P23" s="81">
        <f t="shared" si="1"/>
        <v>60.621600000000001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1"/>
        <v>60.038699999999999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59.455800000000004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58.872900000000001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58.29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:F31" si="11">C28*(E28-D28)</f>
        <v>-760.5</v>
      </c>
      <c r="G28" s="39">
        <f t="shared" ref="G28:G31" si="12">D28*C28</f>
        <v>8976</v>
      </c>
      <c r="H28" s="222">
        <f t="shared" ref="H28:H31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57.707099999999997</v>
      </c>
    </row>
    <row r="29" spans="1:16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1"/>
        <v>-577.50000000000023</v>
      </c>
      <c r="G29" s="39">
        <f t="shared" si="12"/>
        <v>8976</v>
      </c>
      <c r="H29" s="222">
        <f t="shared" si="1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1"/>
        <v>57.124199999999995</v>
      </c>
    </row>
    <row r="30" spans="1:16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1"/>
        <v>-592.00000000000023</v>
      </c>
      <c r="G30" s="39">
        <f t="shared" si="12"/>
        <v>11766</v>
      </c>
      <c r="H30" s="222">
        <f t="shared" si="1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1"/>
        <v>56.5413</v>
      </c>
    </row>
    <row r="31" spans="1:16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1"/>
        <v>-473.99999999999949</v>
      </c>
      <c r="G31" s="39">
        <f t="shared" si="12"/>
        <v>11766</v>
      </c>
      <c r="H31" s="222">
        <f t="shared" si="1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1"/>
        <v>55.958399999999997</v>
      </c>
    </row>
    <row r="32" spans="1:16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ref="F32" si="14">C32*(E32-D32)</f>
        <v>-202.49999999999915</v>
      </c>
      <c r="G32" s="39">
        <f t="shared" ref="G32" si="15">D32*C32</f>
        <v>8847</v>
      </c>
      <c r="H32" s="222">
        <f t="shared" ref="H32" si="16">(E32-D32)/D32</f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1"/>
        <v>55.375499999999995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54.792599999999993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54.209700000000005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53.626800000000003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53.043900000000001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52.460999999999999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0" priority="35">
      <formula>F47&gt;0</formula>
    </cfRule>
    <cfRule type="expression" dxfId="1599" priority="36">
      <formula>F47&lt;0</formula>
    </cfRule>
  </conditionalFormatting>
  <conditionalFormatting sqref="Q7">
    <cfRule type="expression" dxfId="1598" priority="33">
      <formula>Q7&gt;0</formula>
    </cfRule>
    <cfRule type="expression" dxfId="1597" priority="34">
      <formula>Q7&lt;0</formula>
    </cfRule>
  </conditionalFormatting>
  <conditionalFormatting sqref="Q8">
    <cfRule type="expression" dxfId="1596" priority="31">
      <formula>Q8&gt;0</formula>
    </cfRule>
    <cfRule type="expression" dxfId="1595" priority="32">
      <formula>Q8&lt;0</formula>
    </cfRule>
  </conditionalFormatting>
  <conditionalFormatting sqref="F30:F46">
    <cfRule type="expression" dxfId="1594" priority="29">
      <formula>F30&gt;0</formula>
    </cfRule>
    <cfRule type="expression" dxfId="1593" priority="30">
      <formula>F30&lt;0</formula>
    </cfRule>
  </conditionalFormatting>
  <conditionalFormatting sqref="H30:H46">
    <cfRule type="expression" dxfId="1592" priority="27">
      <formula>H30&gt;0</formula>
    </cfRule>
    <cfRule type="expression" dxfId="1591" priority="28">
      <formula>H30&lt;0</formula>
    </cfRule>
  </conditionalFormatting>
  <conditionalFormatting sqref="Q10">
    <cfRule type="expression" dxfId="1590" priority="25">
      <formula>Q10&gt;0</formula>
    </cfRule>
    <cfRule type="expression" dxfId="1589" priority="26">
      <formula>Q10&lt;0</formula>
    </cfRule>
  </conditionalFormatting>
  <conditionalFormatting sqref="J25:J38">
    <cfRule type="expression" dxfId="1588" priority="23">
      <formula>J25&gt;0</formula>
    </cfRule>
    <cfRule type="expression" dxfId="1587" priority="24">
      <formula>J25&lt;0</formula>
    </cfRule>
  </conditionalFormatting>
  <conditionalFormatting sqref="K25:K38">
    <cfRule type="expression" dxfId="1586" priority="21">
      <formula>K25&gt;0</formula>
    </cfRule>
    <cfRule type="expression" dxfId="1585" priority="22">
      <formula>K25&lt;0</formula>
    </cfRule>
  </conditionalFormatting>
  <conditionalFormatting sqref="L25 L38">
    <cfRule type="expression" dxfId="1584" priority="19">
      <formula>L25&gt;0</formula>
    </cfRule>
    <cfRule type="expression" dxfId="1583" priority="20">
      <formula>L25&lt;0</formula>
    </cfRule>
  </conditionalFormatting>
  <conditionalFormatting sqref="F89:F110">
    <cfRule type="expression" dxfId="1582" priority="17">
      <formula>F89&gt;0</formula>
    </cfRule>
    <cfRule type="expression" dxfId="1581" priority="18">
      <formula>F89&lt;0</formula>
    </cfRule>
  </conditionalFormatting>
  <conditionalFormatting sqref="H89:H110">
    <cfRule type="expression" dxfId="1580" priority="15">
      <formula>H89&gt;0</formula>
    </cfRule>
    <cfRule type="expression" dxfId="1579" priority="16">
      <formula>H89&lt;0</formula>
    </cfRule>
  </conditionalFormatting>
  <conditionalFormatting sqref="J89:J102">
    <cfRule type="expression" dxfId="1578" priority="13">
      <formula>J89&gt;0</formula>
    </cfRule>
    <cfRule type="expression" dxfId="1577" priority="14">
      <formula>J89&lt;0</formula>
    </cfRule>
  </conditionalFormatting>
  <conditionalFormatting sqref="K89:K102">
    <cfRule type="expression" dxfId="1576" priority="11">
      <formula>K89&gt;0</formula>
    </cfRule>
    <cfRule type="expression" dxfId="1575" priority="12">
      <formula>K89&lt;0</formula>
    </cfRule>
  </conditionalFormatting>
  <conditionalFormatting sqref="L89:L102">
    <cfRule type="expression" dxfId="1574" priority="9">
      <formula>L89&gt;0</formula>
    </cfRule>
    <cfRule type="expression" dxfId="1573" priority="10">
      <formula>L89&lt;0</formula>
    </cfRule>
  </conditionalFormatting>
  <conditionalFormatting sqref="F25 F29">
    <cfRule type="expression" dxfId="1572" priority="7">
      <formula>F25&gt;0</formula>
    </cfRule>
    <cfRule type="expression" dxfId="1571" priority="8">
      <formula>F25&lt;0</formula>
    </cfRule>
  </conditionalFormatting>
  <conditionalFormatting sqref="H25 H29">
    <cfRule type="expression" dxfId="1570" priority="5">
      <formula>H25&gt;0</formula>
    </cfRule>
    <cfRule type="expression" dxfId="1569" priority="6">
      <formula>H25&lt;0</formula>
    </cfRule>
  </conditionalFormatting>
  <conditionalFormatting sqref="F26:F28">
    <cfRule type="expression" dxfId="1568" priority="3">
      <formula>F26&gt;0</formula>
    </cfRule>
    <cfRule type="expression" dxfId="1567" priority="4">
      <formula>F26&lt;0</formula>
    </cfRule>
  </conditionalFormatting>
  <conditionalFormatting sqref="H26:H28">
    <cfRule type="expression" dxfId="1566" priority="1">
      <formula>H26&gt;0</formula>
    </cfRule>
    <cfRule type="expression" dxfId="156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1091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1029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32.68</v>
      </c>
      <c r="R4" s="495">
        <v>-3.3999999999999998E-3</v>
      </c>
      <c r="T4" s="770"/>
      <c r="U4" s="30" t="s">
        <v>1030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46.840000000000146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46.840000000000146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1.4541345353847728E-2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3.0599755201958383E-2</v>
      </c>
      <c r="R11">
        <v>0.5</v>
      </c>
    </row>
    <row r="12" spans="1:21" x14ac:dyDescent="0.25">
      <c r="H12" s="70"/>
      <c r="O12" s="11" t="s">
        <v>946</v>
      </c>
    </row>
    <row r="13" spans="1:21" x14ac:dyDescent="0.25">
      <c r="H13" s="70"/>
      <c r="O13" s="11" t="s">
        <v>973</v>
      </c>
      <c r="Q13">
        <f>Q4/3.47</f>
        <v>9.4178674351585006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1032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1128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1130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35.948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35.621200000000002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35.294400000000003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34.967600000000004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34.640799999999999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34.314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33.987200000000001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33.660400000000003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33.333599999999997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33.006799999999998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32.68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32.353200000000001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32.026400000000002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31.6996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31.372799999999998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31.045999999999999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30.719199999999997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30.392400000000002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30.0656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29.738800000000001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29.411999999999999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4" priority="31">
      <formula>F47&gt;0</formula>
    </cfRule>
    <cfRule type="expression" dxfId="1563" priority="32">
      <formula>F47&lt;0</formula>
    </cfRule>
  </conditionalFormatting>
  <conditionalFormatting sqref="Q7">
    <cfRule type="expression" dxfId="1562" priority="29">
      <formula>Q7&gt;0</formula>
    </cfRule>
    <cfRule type="expression" dxfId="1561" priority="30">
      <formula>Q7&lt;0</formula>
    </cfRule>
  </conditionalFormatting>
  <conditionalFormatting sqref="Q8">
    <cfRule type="expression" dxfId="1560" priority="27">
      <formula>Q8&gt;0</formula>
    </cfRule>
    <cfRule type="expression" dxfId="1559" priority="28">
      <formula>Q8&lt;0</formula>
    </cfRule>
  </conditionalFormatting>
  <conditionalFormatting sqref="F30:F46">
    <cfRule type="expression" dxfId="1558" priority="25">
      <formula>F30&gt;0</formula>
    </cfRule>
    <cfRule type="expression" dxfId="1557" priority="26">
      <formula>F30&lt;0</formula>
    </cfRule>
  </conditionalFormatting>
  <conditionalFormatting sqref="H30:H46">
    <cfRule type="expression" dxfId="1556" priority="23">
      <formula>H30&gt;0</formula>
    </cfRule>
    <cfRule type="expression" dxfId="1555" priority="24">
      <formula>H30&lt;0</formula>
    </cfRule>
  </conditionalFormatting>
  <conditionalFormatting sqref="Q10">
    <cfRule type="expression" dxfId="1554" priority="21">
      <formula>Q10&gt;0</formula>
    </cfRule>
    <cfRule type="expression" dxfId="1553" priority="22">
      <formula>Q10&lt;0</formula>
    </cfRule>
  </conditionalFormatting>
  <conditionalFormatting sqref="J25:J38">
    <cfRule type="expression" dxfId="1552" priority="19">
      <formula>J25&gt;0</formula>
    </cfRule>
    <cfRule type="expression" dxfId="1551" priority="20">
      <formula>J25&lt;0</formula>
    </cfRule>
  </conditionalFormatting>
  <conditionalFormatting sqref="K25:K38">
    <cfRule type="expression" dxfId="1550" priority="17">
      <formula>K25&gt;0</formula>
    </cfRule>
    <cfRule type="expression" dxfId="1549" priority="18">
      <formula>K25&lt;0</formula>
    </cfRule>
  </conditionalFormatting>
  <conditionalFormatting sqref="L25:L38">
    <cfRule type="expression" dxfId="1548" priority="15">
      <formula>L25&gt;0</formula>
    </cfRule>
    <cfRule type="expression" dxfId="1547" priority="16">
      <formula>L25&lt;0</formula>
    </cfRule>
  </conditionalFormatting>
  <conditionalFormatting sqref="F89:F110">
    <cfRule type="expression" dxfId="1546" priority="13">
      <formula>F89&gt;0</formula>
    </cfRule>
    <cfRule type="expression" dxfId="1545" priority="14">
      <formula>F89&lt;0</formula>
    </cfRule>
  </conditionalFormatting>
  <conditionalFormatting sqref="H89:H110">
    <cfRule type="expression" dxfId="1544" priority="11">
      <formula>H89&gt;0</formula>
    </cfRule>
    <cfRule type="expression" dxfId="1543" priority="12">
      <formula>H89&lt;0</formula>
    </cfRule>
  </conditionalFormatting>
  <conditionalFormatting sqref="J89:J102">
    <cfRule type="expression" dxfId="1542" priority="9">
      <formula>J89&gt;0</formula>
    </cfRule>
    <cfRule type="expression" dxfId="1541" priority="10">
      <formula>J89&lt;0</formula>
    </cfRule>
  </conditionalFormatting>
  <conditionalFormatting sqref="K89:K102">
    <cfRule type="expression" dxfId="1540" priority="7">
      <formula>K89&gt;0</formula>
    </cfRule>
    <cfRule type="expression" dxfId="1539" priority="8">
      <formula>K89&lt;0</formula>
    </cfRule>
  </conditionalFormatting>
  <conditionalFormatting sqref="L89:L102">
    <cfRule type="expression" dxfId="1538" priority="5">
      <formula>L89&gt;0</formula>
    </cfRule>
    <cfRule type="expression" dxfId="1537" priority="6">
      <formula>L89&lt;0</formula>
    </cfRule>
  </conditionalFormatting>
  <conditionalFormatting sqref="F25:F29">
    <cfRule type="expression" dxfId="1536" priority="3">
      <formula>F25&gt;0</formula>
    </cfRule>
    <cfRule type="expression" dxfId="1535" priority="4">
      <formula>F25&lt;0</formula>
    </cfRule>
  </conditionalFormatting>
  <conditionalFormatting sqref="H25:H29">
    <cfRule type="expression" dxfId="1534" priority="1">
      <formula>H25&gt;0</formula>
    </cfRule>
    <cfRule type="expression" dxfId="15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209.62</v>
      </c>
      <c r="R4" s="495">
        <v>9.7999999999999997E-3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4192.3999999999996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1475.6300000000006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1332.6000000000004</v>
      </c>
      <c r="T8" s="1">
        <v>43237</v>
      </c>
      <c r="U8" t="s">
        <v>1089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0.46597664172319769</v>
      </c>
      <c r="W9" s="134"/>
    </row>
    <row r="10" spans="1:23" x14ac:dyDescent="0.25">
      <c r="H10" s="70"/>
      <c r="O10" s="11" t="s">
        <v>207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2.3852685812422478E-3</v>
      </c>
      <c r="S11">
        <v>0.5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>
        <f>Q4/6.86</f>
        <v>30.556851311953352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230.58200000000002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228.48580000000001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226.38960000000003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224.29340000000002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222.19720000000001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220.10100000000003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218.00480000000002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215.90860000000001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213.8124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211.71620000000001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209.62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207.52379999999999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205.42760000000001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203.3314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201.23519999999999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199.13899999999998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197.0428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194.94660000000002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192.85040000000001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190.7542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188.65800000000002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2" priority="24">
      <formula>F47&gt;0</formula>
    </cfRule>
    <cfRule type="expression" dxfId="1531" priority="25">
      <formula>F47&lt;0</formula>
    </cfRule>
  </conditionalFormatting>
  <conditionalFormatting sqref="Q7">
    <cfRule type="expression" dxfId="1530" priority="22">
      <formula>Q7&gt;0</formula>
    </cfRule>
    <cfRule type="expression" dxfId="1529" priority="23">
      <formula>Q7&lt;0</formula>
    </cfRule>
  </conditionalFormatting>
  <conditionalFormatting sqref="Q8">
    <cfRule type="expression" dxfId="1528" priority="20">
      <formula>Q8&gt;0</formula>
    </cfRule>
    <cfRule type="expression" dxfId="1527" priority="21">
      <formula>Q8&lt;0</formula>
    </cfRule>
  </conditionalFormatting>
  <conditionalFormatting sqref="F25:F46">
    <cfRule type="expression" dxfId="1526" priority="18">
      <formula>F25&gt;0</formula>
    </cfRule>
    <cfRule type="expression" dxfId="1525" priority="19">
      <formula>F25&lt;0</formula>
    </cfRule>
  </conditionalFormatting>
  <conditionalFormatting sqref="H25:H46">
    <cfRule type="expression" dxfId="1524" priority="16">
      <formula>H25&gt;0</formula>
    </cfRule>
    <cfRule type="expression" dxfId="1523" priority="17">
      <formula>H25&lt;0</formula>
    </cfRule>
  </conditionalFormatting>
  <conditionalFormatting sqref="F89:F110">
    <cfRule type="expression" dxfId="1522" priority="14">
      <formula>F89&gt;0</formula>
    </cfRule>
    <cfRule type="expression" dxfId="1521" priority="15">
      <formula>F89&lt;0</formula>
    </cfRule>
  </conditionalFormatting>
  <conditionalFormatting sqref="H89:H110">
    <cfRule type="expression" dxfId="1520" priority="12">
      <formula>H89&gt;0</formula>
    </cfRule>
    <cfRule type="expression" dxfId="1519" priority="13">
      <formula>H89&lt;0</formula>
    </cfRule>
  </conditionalFormatting>
  <conditionalFormatting sqref="Q10">
    <cfRule type="expression" dxfId="1518" priority="10">
      <formula>Q10&gt;0</formula>
    </cfRule>
    <cfRule type="expression" dxfId="1517" priority="11">
      <formula>Q10&lt;0</formula>
    </cfRule>
  </conditionalFormatting>
  <conditionalFormatting sqref="J25:J39">
    <cfRule type="expression" dxfId="1516" priority="8">
      <formula>J25&gt;0</formula>
    </cfRule>
    <cfRule type="expression" dxfId="1515" priority="9">
      <formula>J25&lt;0</formula>
    </cfRule>
  </conditionalFormatting>
  <conditionalFormatting sqref="K25:K38">
    <cfRule type="expression" dxfId="1514" priority="6">
      <formula>K25&gt;0</formula>
    </cfRule>
    <cfRule type="expression" dxfId="1513" priority="7">
      <formula>K25&lt;0</formula>
    </cfRule>
  </conditionalFormatting>
  <conditionalFormatting sqref="L25:L38">
    <cfRule type="expression" dxfId="1512" priority="4">
      <formula>L25&gt;0</formula>
    </cfRule>
    <cfRule type="expression" dxfId="151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10" priority="1">
      <formula>J40&gt;0</formula>
    </cfRule>
    <cfRule type="expression" dxfId="150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456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457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208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207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494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495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276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296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294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295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297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303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322</v>
      </c>
      <c r="J235" s="39"/>
      <c r="K235" s="39"/>
    </row>
    <row r="236" spans="1:11" x14ac:dyDescent="0.25">
      <c r="A236" t="s">
        <v>332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357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357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374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378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393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400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403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408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409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410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415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415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415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08" priority="74">
      <formula>F12&gt;0</formula>
    </cfRule>
    <cfRule type="expression" dxfId="150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06" priority="67">
      <formula>F124&gt;0</formula>
    </cfRule>
    <cfRule type="expression" dxfId="1505" priority="68">
      <formula>F124&lt;0</formula>
    </cfRule>
  </conditionalFormatting>
  <conditionalFormatting sqref="H124:H130">
    <cfRule type="expression" dxfId="1504" priority="55">
      <formula>H124&gt;0</formula>
    </cfRule>
    <cfRule type="expression" dxfId="1503" priority="56">
      <formula>H124&lt;0</formula>
    </cfRule>
  </conditionalFormatting>
  <conditionalFormatting sqref="H131">
    <cfRule type="expression" dxfId="1502" priority="53">
      <formula>H131&gt;0</formula>
    </cfRule>
    <cfRule type="expression" dxfId="1501" priority="54">
      <formula>H131&lt;0</formula>
    </cfRule>
  </conditionalFormatting>
  <conditionalFormatting sqref="H132">
    <cfRule type="expression" dxfId="1500" priority="51">
      <formula>H132&gt;0</formula>
    </cfRule>
    <cfRule type="expression" dxfId="1499" priority="52">
      <formula>H132&lt;0</formula>
    </cfRule>
  </conditionalFormatting>
  <conditionalFormatting sqref="H133:H135">
    <cfRule type="expression" dxfId="1498" priority="49">
      <formula>H133&gt;0</formula>
    </cfRule>
    <cfRule type="expression" dxfId="1497" priority="50">
      <formula>H133&lt;0</formula>
    </cfRule>
  </conditionalFormatting>
  <conditionalFormatting sqref="H136">
    <cfRule type="expression" dxfId="1496" priority="45">
      <formula>H136&gt;0</formula>
    </cfRule>
    <cfRule type="expression" dxfId="1495" priority="46">
      <formula>H136&lt;0</formula>
    </cfRule>
  </conditionalFormatting>
  <conditionalFormatting sqref="Q7">
    <cfRule type="expression" dxfId="1494" priority="39">
      <formula>Q7&gt;0</formula>
    </cfRule>
    <cfRule type="expression" dxfId="1493" priority="40">
      <formula>Q7&lt;0</formula>
    </cfRule>
  </conditionalFormatting>
  <conditionalFormatting sqref="Q8">
    <cfRule type="expression" dxfId="1492" priority="37">
      <formula>Q8&gt;0</formula>
    </cfRule>
    <cfRule type="expression" dxfId="1491" priority="38">
      <formula>Q8&lt;0</formula>
    </cfRule>
  </conditionalFormatting>
  <conditionalFormatting sqref="F167:F178 H167:H178">
    <cfRule type="expression" dxfId="1490" priority="35">
      <formula>F167&gt;0</formula>
    </cfRule>
    <cfRule type="expression" dxfId="1489" priority="36">
      <formula>F167&lt;0</formula>
    </cfRule>
  </conditionalFormatting>
  <conditionalFormatting sqref="F183:F197 H183:H197">
    <cfRule type="expression" dxfId="1488" priority="33">
      <formula>F183&gt;0</formula>
    </cfRule>
    <cfRule type="expression" dxfId="1487" priority="34">
      <formula>F183&lt;0</formula>
    </cfRule>
  </conditionalFormatting>
  <conditionalFormatting sqref="F198:F206 H198:H206">
    <cfRule type="expression" dxfId="1486" priority="31">
      <formula>F198&gt;0</formula>
    </cfRule>
    <cfRule type="expression" dxfId="1485" priority="32">
      <formula>F198&lt;0</formula>
    </cfRule>
  </conditionalFormatting>
  <conditionalFormatting sqref="F141:F147 H141:H147">
    <cfRule type="expression" dxfId="1484" priority="29">
      <formula>F141&gt;0</formula>
    </cfRule>
    <cfRule type="expression" dxfId="1483" priority="30">
      <formula>F141&lt;0</formula>
    </cfRule>
  </conditionalFormatting>
  <conditionalFormatting sqref="H149:H152 F149:F152">
    <cfRule type="expression" dxfId="1482" priority="27">
      <formula>F149&gt;0</formula>
    </cfRule>
    <cfRule type="expression" dxfId="1481" priority="28">
      <formula>F149&lt;0</formula>
    </cfRule>
  </conditionalFormatting>
  <conditionalFormatting sqref="F226 H215:H218 H257:H260 F257:F260 H226 H231:H233 F231:F233 F235:F244 H235:H244">
    <cfRule type="expression" dxfId="1480" priority="25">
      <formula>F215&gt;0</formula>
    </cfRule>
    <cfRule type="expression" dxfId="1479" priority="26">
      <formula>F215&lt;0</formula>
    </cfRule>
  </conditionalFormatting>
  <conditionalFormatting sqref="F207:F218">
    <cfRule type="expression" dxfId="1478" priority="23">
      <formula>F207&gt;0</formula>
    </cfRule>
    <cfRule type="expression" dxfId="1477" priority="24">
      <formula>F207&lt;0</formula>
    </cfRule>
  </conditionalFormatting>
  <conditionalFormatting sqref="H207:H208">
    <cfRule type="expression" dxfId="1476" priority="21">
      <formula>H207&gt;0</formula>
    </cfRule>
    <cfRule type="expression" dxfId="1475" priority="22">
      <formula>H207&lt;0</formula>
    </cfRule>
  </conditionalFormatting>
  <conditionalFormatting sqref="H209">
    <cfRule type="expression" dxfId="1474" priority="19">
      <formula>H209&gt;0</formula>
    </cfRule>
    <cfRule type="expression" dxfId="1473" priority="20">
      <formula>H209&lt;0</formula>
    </cfRule>
  </conditionalFormatting>
  <conditionalFormatting sqref="H210">
    <cfRule type="expression" dxfId="1472" priority="17">
      <formula>H210&gt;0</formula>
    </cfRule>
    <cfRule type="expression" dxfId="1471" priority="18">
      <formula>H210&lt;0</formula>
    </cfRule>
  </conditionalFormatting>
  <conditionalFormatting sqref="H211:H213">
    <cfRule type="expression" dxfId="1470" priority="15">
      <formula>H211&gt;0</formula>
    </cfRule>
    <cfRule type="expression" dxfId="1469" priority="16">
      <formula>H211&lt;0</formula>
    </cfRule>
  </conditionalFormatting>
  <conditionalFormatting sqref="H214">
    <cfRule type="expression" dxfId="1468" priority="13">
      <formula>H214&gt;0</formula>
    </cfRule>
    <cfRule type="expression" dxfId="1467" priority="14">
      <formula>H214&lt;0</formula>
    </cfRule>
  </conditionalFormatting>
  <conditionalFormatting sqref="F245:F256 H245:H256">
    <cfRule type="expression" dxfId="1466" priority="11">
      <formula>F245&gt;0</formula>
    </cfRule>
    <cfRule type="expression" dxfId="1465" priority="12">
      <formula>F245&lt;0</formula>
    </cfRule>
  </conditionalFormatting>
  <conditionalFormatting sqref="F261:F275 H261:H275">
    <cfRule type="expression" dxfId="1464" priority="9">
      <formula>F261&gt;0</formula>
    </cfRule>
    <cfRule type="expression" dxfId="1463" priority="10">
      <formula>F261&lt;0</formula>
    </cfRule>
  </conditionalFormatting>
  <conditionalFormatting sqref="F276:F283 H276:H283">
    <cfRule type="expression" dxfId="1462" priority="7">
      <formula>F276&gt;0</formula>
    </cfRule>
    <cfRule type="expression" dxfId="1461" priority="8">
      <formula>F276&lt;0</formula>
    </cfRule>
  </conditionalFormatting>
  <conditionalFormatting sqref="F219:F225 H219:H225">
    <cfRule type="expression" dxfId="1460" priority="5">
      <formula>F219&gt;0</formula>
    </cfRule>
    <cfRule type="expression" dxfId="1459" priority="6">
      <formula>F219&lt;0</formula>
    </cfRule>
  </conditionalFormatting>
  <conditionalFormatting sqref="H227:H230 F227:F230">
    <cfRule type="expression" dxfId="1458" priority="3">
      <formula>F227&gt;0</formula>
    </cfRule>
    <cfRule type="expression" dxfId="1457" priority="4">
      <formula>F227&lt;0</formula>
    </cfRule>
  </conditionalFormatting>
  <conditionalFormatting sqref="H234 F234">
    <cfRule type="expression" dxfId="1456" priority="1">
      <formula>F234&gt;0</formula>
    </cfRule>
    <cfRule type="expression" dxfId="145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146.46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146.46</v>
      </c>
      <c r="R4" s="475">
        <v>6.3E-3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207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161.10600000000002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159.64140000000003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158.17680000000001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156.71220000000002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155.24760000000001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153.78300000000002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152.31840000000003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150.85380000000001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149.38920000000002</v>
      </c>
      <c r="Q49" s="2"/>
      <c r="T49" s="91" t="s">
        <v>121</v>
      </c>
      <c r="U49" s="127" t="s">
        <v>386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147.9246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146.46</v>
      </c>
      <c r="Q51" s="2"/>
      <c r="T51" s="91" t="s">
        <v>104</v>
      </c>
      <c r="U51" s="127" t="s">
        <v>595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144.99540000000002</v>
      </c>
      <c r="Q52" s="2"/>
      <c r="T52" s="91" t="s">
        <v>105</v>
      </c>
      <c r="U52" s="127" t="s">
        <v>417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143.5308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142.06620000000001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140.60159999999999</v>
      </c>
      <c r="T55" s="91" t="s">
        <v>107</v>
      </c>
      <c r="U55" s="127" t="s">
        <v>596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139.137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137.67240000000001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136.20780000000002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134.7432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133.27860000000001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131.81400000000002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307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349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349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54" priority="43">
      <formula>F33&gt;0</formula>
    </cfRule>
    <cfRule type="expression" dxfId="1453" priority="44">
      <formula>F33&lt;0</formula>
    </cfRule>
  </conditionalFormatting>
  <conditionalFormatting sqref="Q7">
    <cfRule type="expression" dxfId="1452" priority="41">
      <formula>Q7&gt;0</formula>
    </cfRule>
    <cfRule type="expression" dxfId="1451" priority="42">
      <formula>Q7&lt;0</formula>
    </cfRule>
  </conditionalFormatting>
  <conditionalFormatting sqref="Q8">
    <cfRule type="expression" dxfId="1450" priority="39">
      <formula>Q8&gt;0</formula>
    </cfRule>
    <cfRule type="expression" dxfId="1449" priority="40">
      <formula>Q8&lt;0</formula>
    </cfRule>
  </conditionalFormatting>
  <conditionalFormatting sqref="F29 F32">
    <cfRule type="expression" dxfId="1448" priority="37">
      <formula>F29&gt;0</formula>
    </cfRule>
    <cfRule type="expression" dxfId="1447" priority="38">
      <formula>F29&lt;0</formula>
    </cfRule>
  </conditionalFormatting>
  <conditionalFormatting sqref="H29 H32">
    <cfRule type="expression" dxfId="1446" priority="35">
      <formula>H29&gt;0</formula>
    </cfRule>
    <cfRule type="expression" dxfId="1445" priority="36">
      <formula>H29&lt;0</formula>
    </cfRule>
  </conditionalFormatting>
  <conditionalFormatting sqref="F30:F31">
    <cfRule type="expression" dxfId="1444" priority="33">
      <formula>F30&gt;0</formula>
    </cfRule>
    <cfRule type="expression" dxfId="1443" priority="34">
      <formula>F30&lt;0</formula>
    </cfRule>
  </conditionalFormatting>
  <conditionalFormatting sqref="H30:H31">
    <cfRule type="expression" dxfId="1442" priority="31">
      <formula>H30&gt;0</formula>
    </cfRule>
    <cfRule type="expression" dxfId="1441" priority="32">
      <formula>H30&lt;0</formula>
    </cfRule>
  </conditionalFormatting>
  <conditionalFormatting sqref="F105:F140 H105:H140">
    <cfRule type="expression" dxfId="1440" priority="29">
      <formula>F105&gt;0</formula>
    </cfRule>
    <cfRule type="expression" dxfId="1439" priority="30">
      <formula>F105&lt;0</formula>
    </cfRule>
  </conditionalFormatting>
  <conditionalFormatting sqref="F96:F99">
    <cfRule type="expression" dxfId="1438" priority="27">
      <formula>F96&gt;0</formula>
    </cfRule>
    <cfRule type="expression" dxfId="1437" priority="28">
      <formula>F96&lt;0</formula>
    </cfRule>
  </conditionalFormatting>
  <conditionalFormatting sqref="H96:H99">
    <cfRule type="expression" dxfId="1436" priority="25">
      <formula>H96&gt;0</formula>
    </cfRule>
    <cfRule type="expression" dxfId="1435" priority="26">
      <formula>H96&lt;0</formula>
    </cfRule>
  </conditionalFormatting>
  <conditionalFormatting sqref="F25:F28">
    <cfRule type="expression" dxfId="1434" priority="19">
      <formula>F25&gt;0</formula>
    </cfRule>
    <cfRule type="expression" dxfId="1433" priority="20">
      <formula>F25&lt;0</formula>
    </cfRule>
  </conditionalFormatting>
  <conditionalFormatting sqref="H25:H28">
    <cfRule type="expression" dxfId="1432" priority="17">
      <formula>H25&gt;0</formula>
    </cfRule>
    <cfRule type="expression" dxfId="1431" priority="18">
      <formula>H25&lt;0</formula>
    </cfRule>
  </conditionalFormatting>
  <conditionalFormatting sqref="J27">
    <cfRule type="expression" dxfId="1430" priority="15">
      <formula>J27&gt;0</formula>
    </cfRule>
    <cfRule type="expression" dxfId="1429" priority="16">
      <formula>J27&lt;0</formula>
    </cfRule>
  </conditionalFormatting>
  <conditionalFormatting sqref="F104">
    <cfRule type="expression" dxfId="1428" priority="13">
      <formula>F104&gt;0</formula>
    </cfRule>
    <cfRule type="expression" dxfId="1427" priority="14">
      <formula>F104&lt;0</formula>
    </cfRule>
  </conditionalFormatting>
  <conditionalFormatting sqref="H104">
    <cfRule type="expression" dxfId="1426" priority="11">
      <formula>H104&gt;0</formula>
    </cfRule>
    <cfRule type="expression" dxfId="1425" priority="12">
      <formula>H104&lt;0</formula>
    </cfRule>
  </conditionalFormatting>
  <conditionalFormatting sqref="F100:F103">
    <cfRule type="expression" dxfId="1424" priority="9">
      <formula>F100&gt;0</formula>
    </cfRule>
    <cfRule type="expression" dxfId="1423" priority="10">
      <formula>F100&lt;0</formula>
    </cfRule>
  </conditionalFormatting>
  <conditionalFormatting sqref="H100:H103">
    <cfRule type="expression" dxfId="1422" priority="7">
      <formula>H100&gt;0</formula>
    </cfRule>
    <cfRule type="expression" dxfId="1421" priority="8">
      <formula>H100&lt;0</formula>
    </cfRule>
  </conditionalFormatting>
  <conditionalFormatting sqref="J102">
    <cfRule type="expression" dxfId="1420" priority="5">
      <formula>J102&gt;0</formula>
    </cfRule>
    <cfRule type="expression" dxfId="1419" priority="6">
      <formula>J102&lt;0</formula>
    </cfRule>
  </conditionalFormatting>
  <conditionalFormatting sqref="Q10">
    <cfRule type="expression" dxfId="1418" priority="3">
      <formula>Q10&gt;0</formula>
    </cfRule>
    <cfRule type="expression" dxfId="1417" priority="4">
      <formula>Q10&lt;0</formula>
    </cfRule>
  </conditionalFormatting>
  <conditionalFormatting sqref="M71">
    <cfRule type="expression" dxfId="1416" priority="1">
      <formula>M71&gt;0</formula>
    </cfRule>
    <cfRule type="expression" dxfId="141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95.07</v>
      </c>
      <c r="R4" s="475">
        <v>-8.0000000000000004E-4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104.577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103.6263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102.6756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101.72490000000001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100.77419999999999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99.823499999999996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98.872799999999998</v>
      </c>
      <c r="Q47" s="2"/>
      <c r="T47" s="91"/>
      <c r="U47" s="127"/>
    </row>
    <row r="48" spans="1:21" x14ac:dyDescent="0.25">
      <c r="A48" s="254" t="s">
        <v>691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97.9221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96.971399999999988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96.020699999999991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94.119299999999996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93.168599999999998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92.217899999999986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91.267199999999988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90.316499999999991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89.365799999999993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88.415099999999995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87.464399999999998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86.5137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85.563000000000002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14" priority="33">
      <formula>F34&gt;0</formula>
    </cfRule>
    <cfRule type="expression" dxfId="1413" priority="34">
      <formula>F34&lt;0</formula>
    </cfRule>
  </conditionalFormatting>
  <conditionalFormatting sqref="Q7">
    <cfRule type="expression" dxfId="1412" priority="31">
      <formula>Q7&gt;0</formula>
    </cfRule>
    <cfRule type="expression" dxfId="1411" priority="32">
      <formula>Q7&lt;0</formula>
    </cfRule>
  </conditionalFormatting>
  <conditionalFormatting sqref="Q8">
    <cfRule type="expression" dxfId="1410" priority="29">
      <formula>Q8&gt;0</formula>
    </cfRule>
    <cfRule type="expression" dxfId="1409" priority="30">
      <formula>Q8&lt;0</formula>
    </cfRule>
  </conditionalFormatting>
  <conditionalFormatting sqref="F27:F33">
    <cfRule type="expression" dxfId="1408" priority="27">
      <formula>F27&gt;0</formula>
    </cfRule>
    <cfRule type="expression" dxfId="1407" priority="28">
      <formula>F27&lt;0</formula>
    </cfRule>
  </conditionalFormatting>
  <conditionalFormatting sqref="H27:H33">
    <cfRule type="expression" dxfId="1406" priority="25">
      <formula>H27&gt;0</formula>
    </cfRule>
    <cfRule type="expression" dxfId="1405" priority="26">
      <formula>H27&lt;0</formula>
    </cfRule>
  </conditionalFormatting>
  <conditionalFormatting sqref="M46">
    <cfRule type="expression" dxfId="1404" priority="23">
      <formula>M46&gt;0</formula>
    </cfRule>
    <cfRule type="expression" dxfId="1403" priority="24">
      <formula>M46&lt;0</formula>
    </cfRule>
  </conditionalFormatting>
  <conditionalFormatting sqref="F79:F87 H79:H87">
    <cfRule type="expression" dxfId="1402" priority="21">
      <formula>F79&gt;0</formula>
    </cfRule>
    <cfRule type="expression" dxfId="1401" priority="22">
      <formula>F79&lt;0</formula>
    </cfRule>
  </conditionalFormatting>
  <conditionalFormatting sqref="F73 F77:F78">
    <cfRule type="expression" dxfId="1400" priority="19">
      <formula>F73&gt;0</formula>
    </cfRule>
    <cfRule type="expression" dxfId="1399" priority="20">
      <formula>F73&lt;0</formula>
    </cfRule>
  </conditionalFormatting>
  <conditionalFormatting sqref="H73 H77:H78">
    <cfRule type="expression" dxfId="1398" priority="17">
      <formula>H73&gt;0</formula>
    </cfRule>
    <cfRule type="expression" dxfId="1397" priority="18">
      <formula>H73&lt;0</formula>
    </cfRule>
  </conditionalFormatting>
  <conditionalFormatting sqref="F70:F72">
    <cfRule type="expression" dxfId="1396" priority="15">
      <formula>F70&gt;0</formula>
    </cfRule>
    <cfRule type="expression" dxfId="1395" priority="16">
      <formula>F70&lt;0</formula>
    </cfRule>
  </conditionalFormatting>
  <conditionalFormatting sqref="H70:H72">
    <cfRule type="expression" dxfId="1394" priority="13">
      <formula>H70&gt;0</formula>
    </cfRule>
    <cfRule type="expression" dxfId="1393" priority="14">
      <formula>H70&lt;0</formula>
    </cfRule>
  </conditionalFormatting>
  <conditionalFormatting sqref="F25:F26">
    <cfRule type="expression" dxfId="1392" priority="11">
      <formula>F25&gt;0</formula>
    </cfRule>
    <cfRule type="expression" dxfId="1391" priority="12">
      <formula>F25&lt;0</formula>
    </cfRule>
  </conditionalFormatting>
  <conditionalFormatting sqref="H25:H26">
    <cfRule type="expression" dxfId="1390" priority="9">
      <formula>H25&gt;0</formula>
    </cfRule>
    <cfRule type="expression" dxfId="1389" priority="10">
      <formula>H25&lt;0</formula>
    </cfRule>
  </conditionalFormatting>
  <conditionalFormatting sqref="F76">
    <cfRule type="expression" dxfId="1388" priority="7">
      <formula>F76&gt;0</formula>
    </cfRule>
    <cfRule type="expression" dxfId="1387" priority="8">
      <formula>F76&lt;0</formula>
    </cfRule>
  </conditionalFormatting>
  <conditionalFormatting sqref="H76">
    <cfRule type="expression" dxfId="1386" priority="5">
      <formula>H76&gt;0</formula>
    </cfRule>
    <cfRule type="expression" dxfId="1385" priority="6">
      <formula>H76&lt;0</formula>
    </cfRule>
  </conditionalFormatting>
  <conditionalFormatting sqref="F74:F75">
    <cfRule type="expression" dxfId="1384" priority="3">
      <formula>F74&gt;0</formula>
    </cfRule>
    <cfRule type="expression" dxfId="1383" priority="4">
      <formula>F74&lt;0</formula>
    </cfRule>
  </conditionalFormatting>
  <conditionalFormatting sqref="H74:H75">
    <cfRule type="expression" dxfId="1382" priority="1">
      <formula>H74&gt;0</formula>
    </cfRule>
    <cfRule type="expression" dxfId="138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996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175.61</v>
      </c>
      <c r="R4" s="495">
        <v>1.24E-2</v>
      </c>
      <c r="T4" s="770">
        <v>43256</v>
      </c>
      <c r="U4" s="839" t="s">
        <v>1119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2634.15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950.54999999999427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950.54999999999427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0.56459372772629546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7.2888787654461591E-3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193.17100000000002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191.41490000000002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3">C25*(E25-D25)</f>
        <v>4.7499999999999432</v>
      </c>
      <c r="G25" s="39">
        <f t="shared" ref="G25" si="4">D25*C25</f>
        <v>4152.75</v>
      </c>
      <c r="H25" s="222">
        <f t="shared" ref="H25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189.65880000000001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6">C26*(E26-D26)</f>
        <v>-65.749999999999886</v>
      </c>
      <c r="G26" s="39">
        <f t="shared" ref="G26" si="7">D26*C26</f>
        <v>8239.75</v>
      </c>
      <c r="H26" s="222">
        <f t="shared" ref="H26" si="8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187.90270000000004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9">C27*(E27-D27)</f>
        <v>14.529999999999887</v>
      </c>
      <c r="G27" s="39">
        <f t="shared" ref="G27" si="10">D27*C27</f>
        <v>4112.72</v>
      </c>
      <c r="H27" s="222">
        <f t="shared" ref="H27" si="11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186.14660000000003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2">C28*(E28-D28)</f>
        <v>-47.220000000000084</v>
      </c>
      <c r="G28" s="39">
        <f t="shared" ref="G28" si="13">D28*C28</f>
        <v>8187.22</v>
      </c>
      <c r="H28" s="222">
        <f t="shared" ref="H28" si="14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184.39050000000003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5">C29*(E29-D29)</f>
        <v>32.779999999999632</v>
      </c>
      <c r="G29" s="39">
        <f t="shared" ref="G29" si="16">D29*C29</f>
        <v>8187.22</v>
      </c>
      <c r="H29" s="222">
        <f t="shared" ref="H29" si="17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182.63440000000003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8">C30*(E30-D30)</f>
        <v>-233.22000000000003</v>
      </c>
      <c r="G30" s="39">
        <f t="shared" ref="G30:G31" si="19">D30*C30</f>
        <v>8187.22</v>
      </c>
      <c r="H30" s="222">
        <f t="shared" ref="H30:H31" si="20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180.87830000000002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8"/>
        <v>-362.21999999999991</v>
      </c>
      <c r="G31" s="39">
        <f t="shared" si="19"/>
        <v>12099.72</v>
      </c>
      <c r="H31" s="222">
        <f t="shared" si="20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179.12220000000002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1">C32*(E32-D32)</f>
        <v>-14.309999999998979</v>
      </c>
      <c r="G32" s="39">
        <f t="shared" ref="G32" si="22">D32*C32</f>
        <v>8074.8099999999995</v>
      </c>
      <c r="H32" s="222">
        <f t="shared" ref="H32" si="23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177.36610000000002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24">C33*(E33-D33)</f>
        <v>35.699999999999932</v>
      </c>
      <c r="G33" s="39">
        <f t="shared" ref="G33:G41" si="25">D33*C33</f>
        <v>8074.8</v>
      </c>
      <c r="H33" s="222">
        <f t="shared" ref="H33:H41" si="26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175.61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4"/>
        <v>-142.3110000000004</v>
      </c>
      <c r="G34" s="39">
        <f t="shared" si="25"/>
        <v>10444.811</v>
      </c>
      <c r="H34" s="222">
        <f t="shared" si="26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173.85390000000001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4"/>
        <v>137.54000000000019</v>
      </c>
      <c r="G35" s="39">
        <f t="shared" si="25"/>
        <v>6342.06</v>
      </c>
      <c r="H35" s="222">
        <f t="shared" si="26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172.09780000000001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4"/>
        <v>141.05000000000103</v>
      </c>
      <c r="G36" s="39">
        <f t="shared" si="25"/>
        <v>10394.15</v>
      </c>
      <c r="H36" s="222">
        <f t="shared" si="26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170.3417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4"/>
        <v>589.5499999999995</v>
      </c>
      <c r="G37" s="39">
        <f t="shared" si="25"/>
        <v>10394.15</v>
      </c>
      <c r="H37" s="222">
        <f t="shared" si="26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168.5856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4"/>
        <v>809.88800000000083</v>
      </c>
      <c r="G38" s="39">
        <f t="shared" si="25"/>
        <v>6099.7119999999995</v>
      </c>
      <c r="H38" s="222">
        <f t="shared" si="26"/>
        <v>0.13277479330171668</v>
      </c>
      <c r="I38" s="39"/>
      <c r="J38" s="39"/>
      <c r="K38" s="39"/>
      <c r="L38" s="39"/>
      <c r="O38" s="81">
        <v>0.95</v>
      </c>
      <c r="P38" s="81">
        <f t="shared" si="2"/>
        <v>166.8295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4"/>
        <v>994.46000000000015</v>
      </c>
      <c r="G39" s="39">
        <f t="shared" si="25"/>
        <v>3436.79</v>
      </c>
      <c r="H39" s="222">
        <f t="shared" si="26"/>
        <v>0.28935721996397806</v>
      </c>
      <c r="I39" s="39"/>
      <c r="J39" s="39"/>
      <c r="K39" s="39"/>
      <c r="L39" s="39"/>
      <c r="O39" s="81">
        <v>0.94</v>
      </c>
      <c r="P39" s="81">
        <f t="shared" si="2"/>
        <v>165.07339999999999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4"/>
        <v>852.40000000000009</v>
      </c>
      <c r="G40" s="39">
        <f t="shared" si="25"/>
        <v>6002.4</v>
      </c>
      <c r="H40" s="222">
        <f t="shared" si="26"/>
        <v>0.14200986272157806</v>
      </c>
      <c r="I40" s="39"/>
      <c r="J40" s="39"/>
      <c r="K40" s="39"/>
      <c r="L40" s="39"/>
      <c r="O40" s="81">
        <v>0.93</v>
      </c>
      <c r="P40" s="81">
        <f t="shared" si="2"/>
        <v>163.31730000000002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24"/>
        <v>910.19999999999993</v>
      </c>
      <c r="G41" s="39">
        <f t="shared" si="25"/>
        <v>1683.6</v>
      </c>
      <c r="H41" s="222">
        <f t="shared" si="26"/>
        <v>0.54062722736992153</v>
      </c>
      <c r="I41" s="39"/>
      <c r="J41" s="39"/>
      <c r="K41" s="39"/>
      <c r="L41" s="39"/>
      <c r="O41" s="81">
        <v>0.92</v>
      </c>
      <c r="P41" s="81">
        <f t="shared" si="2"/>
        <v>161.56120000000001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159.80510000000001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158.04900000000001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0" priority="37">
      <formula>F47&gt;0</formula>
    </cfRule>
    <cfRule type="expression" dxfId="1379" priority="38">
      <formula>F47&lt;0</formula>
    </cfRule>
  </conditionalFormatting>
  <conditionalFormatting sqref="Q7">
    <cfRule type="expression" dxfId="1378" priority="35">
      <formula>Q7&gt;0</formula>
    </cfRule>
    <cfRule type="expression" dxfId="1377" priority="36">
      <formula>Q7&lt;0</formula>
    </cfRule>
  </conditionalFormatting>
  <conditionalFormatting sqref="Q8">
    <cfRule type="expression" dxfId="1376" priority="33">
      <formula>Q8&gt;0</formula>
    </cfRule>
    <cfRule type="expression" dxfId="1375" priority="34">
      <formula>Q8&lt;0</formula>
    </cfRule>
  </conditionalFormatting>
  <conditionalFormatting sqref="F31:F46">
    <cfRule type="expression" dxfId="1374" priority="31">
      <formula>F31&gt;0</formula>
    </cfRule>
    <cfRule type="expression" dxfId="1373" priority="32">
      <formula>F31&lt;0</formula>
    </cfRule>
  </conditionalFormatting>
  <conditionalFormatting sqref="H31:H46">
    <cfRule type="expression" dxfId="1372" priority="29">
      <formula>H31&gt;0</formula>
    </cfRule>
    <cfRule type="expression" dxfId="1371" priority="30">
      <formula>H31&lt;0</formula>
    </cfRule>
  </conditionalFormatting>
  <conditionalFormatting sqref="Q10">
    <cfRule type="expression" dxfId="1370" priority="27">
      <formula>Q10&gt;0</formula>
    </cfRule>
    <cfRule type="expression" dxfId="1369" priority="28">
      <formula>Q10&lt;0</formula>
    </cfRule>
  </conditionalFormatting>
  <conditionalFormatting sqref="J25:J38">
    <cfRule type="expression" dxfId="1368" priority="25">
      <formula>J25&gt;0</formula>
    </cfRule>
    <cfRule type="expression" dxfId="1367" priority="26">
      <formula>J25&lt;0</formula>
    </cfRule>
  </conditionalFormatting>
  <conditionalFormatting sqref="K25:K38">
    <cfRule type="expression" dxfId="1366" priority="23">
      <formula>K25&gt;0</formula>
    </cfRule>
    <cfRule type="expression" dxfId="1365" priority="24">
      <formula>K25&lt;0</formula>
    </cfRule>
  </conditionalFormatting>
  <conditionalFormatting sqref="L25:L38">
    <cfRule type="expression" dxfId="1364" priority="21">
      <formula>L25&gt;0</formula>
    </cfRule>
    <cfRule type="expression" dxfId="1363" priority="22">
      <formula>L25&lt;0</formula>
    </cfRule>
  </conditionalFormatting>
  <conditionalFormatting sqref="F89:F110">
    <cfRule type="expression" dxfId="1362" priority="19">
      <formula>F89&gt;0</formula>
    </cfRule>
    <cfRule type="expression" dxfId="1361" priority="20">
      <formula>F89&lt;0</formula>
    </cfRule>
  </conditionalFormatting>
  <conditionalFormatting sqref="H89:H110">
    <cfRule type="expression" dxfId="1360" priority="17">
      <formula>H89&gt;0</formula>
    </cfRule>
    <cfRule type="expression" dxfId="1359" priority="18">
      <formula>H89&lt;0</formula>
    </cfRule>
  </conditionalFormatting>
  <conditionalFormatting sqref="J89:J102">
    <cfRule type="expression" dxfId="1358" priority="15">
      <formula>J89&gt;0</formula>
    </cfRule>
    <cfRule type="expression" dxfId="1357" priority="16">
      <formula>J89&lt;0</formula>
    </cfRule>
  </conditionalFormatting>
  <conditionalFormatting sqref="K89:K102">
    <cfRule type="expression" dxfId="1356" priority="13">
      <formula>K89&gt;0</formula>
    </cfRule>
    <cfRule type="expression" dxfId="1355" priority="14">
      <formula>K89&lt;0</formula>
    </cfRule>
  </conditionalFormatting>
  <conditionalFormatting sqref="L89:L102">
    <cfRule type="expression" dxfId="1354" priority="11">
      <formula>L89&gt;0</formula>
    </cfRule>
    <cfRule type="expression" dxfId="1353" priority="12">
      <formula>L89&lt;0</formula>
    </cfRule>
  </conditionalFormatting>
  <conditionalFormatting sqref="F25:F28">
    <cfRule type="expression" dxfId="1352" priority="9">
      <formula>F25&gt;0</formula>
    </cfRule>
    <cfRule type="expression" dxfId="1351" priority="10">
      <formula>F25&lt;0</formula>
    </cfRule>
  </conditionalFormatting>
  <conditionalFormatting sqref="H25:H28">
    <cfRule type="expression" dxfId="1350" priority="7">
      <formula>H25&gt;0</formula>
    </cfRule>
    <cfRule type="expression" dxfId="1349" priority="8">
      <formula>H25&lt;0</formula>
    </cfRule>
  </conditionalFormatting>
  <conditionalFormatting sqref="F29:F30">
    <cfRule type="expression" dxfId="1348" priority="3">
      <formula>F29&gt;0</formula>
    </cfRule>
    <cfRule type="expression" dxfId="1347" priority="4">
      <formula>F29&lt;0</formula>
    </cfRule>
  </conditionalFormatting>
  <conditionalFormatting sqref="H29:H30">
    <cfRule type="expression" dxfId="1346" priority="1">
      <formula>H29&gt;0</formula>
    </cfRule>
    <cfRule type="expression" dxfId="134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735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1021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63.3</v>
      </c>
      <c r="R4" s="495">
        <v>2.6700000000000002E-2</v>
      </c>
      <c r="T4" s="1">
        <v>43114</v>
      </c>
      <c r="U4" t="s">
        <v>886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12660</v>
      </c>
      <c r="T5" s="1"/>
      <c r="U5" t="s">
        <v>1165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243.59999999999127</v>
      </c>
      <c r="R7" s="29">
        <v>43311</v>
      </c>
      <c r="T7" s="1">
        <v>43187</v>
      </c>
      <c r="U7" t="s">
        <v>977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243.59999999999127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208</v>
      </c>
      <c r="Q9" s="134">
        <f>IF(Q2=0, 0, Q8/Q6)</f>
        <v>1.9619213298539922E-2</v>
      </c>
      <c r="T9" s="1">
        <v>43212</v>
      </c>
      <c r="U9" t="s">
        <v>1022</v>
      </c>
      <c r="V9" s="134"/>
    </row>
    <row r="10" spans="1:22" x14ac:dyDescent="0.25">
      <c r="A10" t="s">
        <v>782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207</v>
      </c>
      <c r="P10" s="33"/>
      <c r="Q10" s="2">
        <f>M82</f>
        <v>0</v>
      </c>
      <c r="U10" t="s">
        <v>1023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2.5276461295418644E-2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946</v>
      </c>
      <c r="Q12" s="1" t="s">
        <v>1166</v>
      </c>
      <c r="T12" s="1">
        <v>43237</v>
      </c>
      <c r="U12" t="s">
        <v>1088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973</v>
      </c>
      <c r="Q13" s="2">
        <f>Q4/(5.9+6.05)*2</f>
        <v>10.594142259414227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1111</v>
      </c>
      <c r="T14" s="1">
        <v>43242</v>
      </c>
      <c r="U14" t="s">
        <v>1074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1040</v>
      </c>
      <c r="Q15" s="29">
        <v>43285</v>
      </c>
      <c r="V15" s="134"/>
    </row>
    <row r="16" spans="1:22" x14ac:dyDescent="0.25">
      <c r="H16" s="70"/>
      <c r="T16" s="1">
        <v>43260</v>
      </c>
      <c r="U16" t="s">
        <v>1126</v>
      </c>
      <c r="V16" s="134"/>
    </row>
    <row r="17" spans="1:22" x14ac:dyDescent="0.25">
      <c r="T17" s="1">
        <v>43271</v>
      </c>
      <c r="U17" t="s">
        <v>1146</v>
      </c>
      <c r="V17" s="134"/>
    </row>
    <row r="18" spans="1:22" x14ac:dyDescent="0.25">
      <c r="A18" s="31" t="s">
        <v>81</v>
      </c>
      <c r="B18" s="14"/>
      <c r="C18" s="14">
        <f>SUM(C2:C15)</f>
        <v>950</v>
      </c>
      <c r="D18" s="18"/>
      <c r="E18" s="18"/>
      <c r="F18" s="18">
        <f>SUM(F2:F15)</f>
        <v>64062.94</v>
      </c>
      <c r="G18" s="14"/>
      <c r="H18" s="71">
        <f>SUM(H2:H10)</f>
        <v>750</v>
      </c>
      <c r="I18" s="791"/>
      <c r="J18" s="18"/>
      <c r="K18" s="18">
        <f>SUM(K2:K10)</f>
        <v>51386.539999999994</v>
      </c>
      <c r="L18" s="14"/>
      <c r="M18" s="18">
        <f>SUM(M2:M10)</f>
        <v>260</v>
      </c>
      <c r="T18" s="1">
        <v>43274</v>
      </c>
      <c r="U18" t="s">
        <v>1145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52151</v>
      </c>
      <c r="G19" s="343"/>
      <c r="H19" s="343">
        <f>SumByColor($A$19,H2:H17)</f>
        <v>750</v>
      </c>
      <c r="I19" s="792"/>
      <c r="J19" s="343"/>
      <c r="K19" s="344">
        <f>SumByColor($A$19,K2:K17)</f>
        <v>51387</v>
      </c>
      <c r="L19" s="343"/>
      <c r="M19" s="344">
        <f>SumByColor($A$19,M2:M17)</f>
        <v>260</v>
      </c>
      <c r="V19" s="134"/>
    </row>
    <row r="20" spans="1:22" x14ac:dyDescent="0.25">
      <c r="T20" s="1">
        <v>43279</v>
      </c>
      <c r="U20" t="s">
        <v>1157</v>
      </c>
      <c r="V20" s="134"/>
    </row>
    <row r="21" spans="1:22" ht="20.25" thickBot="1" x14ac:dyDescent="0.35">
      <c r="O21" s="849" t="s">
        <v>78</v>
      </c>
      <c r="P21" s="849"/>
      <c r="U21" t="s">
        <v>1164</v>
      </c>
      <c r="V21" s="134"/>
    </row>
    <row r="22" spans="1:22" ht="15.75" thickTop="1" x14ac:dyDescent="0.25">
      <c r="O22" s="81">
        <v>1.1000000000000001</v>
      </c>
      <c r="P22" s="81">
        <f>O22*$Q$4</f>
        <v>69.63</v>
      </c>
      <c r="V22" s="134"/>
    </row>
    <row r="23" spans="1:22" x14ac:dyDescent="0.25">
      <c r="O23" s="81">
        <v>1.0900000000000001</v>
      </c>
      <c r="P23" s="81">
        <f t="shared" ref="P23:P42" si="2">O23*$Q$4</f>
        <v>68.997</v>
      </c>
      <c r="T23" s="1">
        <v>43285</v>
      </c>
      <c r="U23" t="s">
        <v>1160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M24" s="220" t="s">
        <v>973</v>
      </c>
      <c r="O24" s="81">
        <v>1.08</v>
      </c>
      <c r="P24" s="81">
        <f t="shared" si="2"/>
        <v>68.364000000000004</v>
      </c>
      <c r="U24" t="s">
        <v>1161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67.730999999999995</v>
      </c>
      <c r="U25" t="s">
        <v>1162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67.097999999999999</v>
      </c>
      <c r="U26" t="s">
        <v>1163</v>
      </c>
      <c r="V26" s="134"/>
    </row>
    <row r="27" spans="1:22" x14ac:dyDescent="0.25">
      <c r="A27" s="1">
        <v>43028</v>
      </c>
      <c r="B27" s="184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66.465000000000003</v>
      </c>
      <c r="V27" s="134"/>
    </row>
    <row r="28" spans="1:22" x14ac:dyDescent="0.25">
      <c r="A28" s="1">
        <v>43028</v>
      </c>
      <c r="B28" s="184">
        <v>43017</v>
      </c>
      <c r="C28" s="7">
        <v>200</v>
      </c>
      <c r="D28" s="43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65.831999999999994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65.198999999999998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64.566000000000003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63.933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63.3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762</v>
      </c>
      <c r="J33" s="39"/>
      <c r="K33" s="39"/>
      <c r="L33" s="727"/>
      <c r="M33" s="727"/>
      <c r="O33" s="81">
        <v>0.99</v>
      </c>
      <c r="P33" s="81">
        <f t="shared" si="2"/>
        <v>62.666999999999994</v>
      </c>
      <c r="V33" s="134"/>
    </row>
    <row r="34" spans="1:22" x14ac:dyDescent="0.25">
      <c r="B34" s="184">
        <v>43052</v>
      </c>
      <c r="C34" s="10">
        <v>150</v>
      </c>
      <c r="D34" s="39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764</v>
      </c>
      <c r="J34" s="39"/>
      <c r="K34" s="39"/>
      <c r="L34" s="727"/>
      <c r="M34" s="727"/>
      <c r="O34" s="81">
        <v>0.98</v>
      </c>
      <c r="P34" s="81">
        <f t="shared" si="2"/>
        <v>62.033999999999999</v>
      </c>
      <c r="V34" s="134"/>
    </row>
    <row r="35" spans="1:22" x14ac:dyDescent="0.25">
      <c r="B35" s="184">
        <v>43059</v>
      </c>
      <c r="C35" s="7">
        <v>200</v>
      </c>
      <c r="D35" s="43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61.400999999999996</v>
      </c>
      <c r="V35" s="134"/>
    </row>
    <row r="36" spans="1:22" x14ac:dyDescent="0.25">
      <c r="A36">
        <v>100</v>
      </c>
      <c r="B36" s="184">
        <v>43069</v>
      </c>
      <c r="C36" s="10">
        <v>150</v>
      </c>
      <c r="D36" s="39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769</v>
      </c>
      <c r="J36" s="39"/>
      <c r="K36" s="39"/>
      <c r="L36" s="727"/>
      <c r="M36" s="727"/>
      <c r="O36" s="81">
        <v>0.96</v>
      </c>
      <c r="P36" s="81">
        <f t="shared" si="2"/>
        <v>60.767999999999994</v>
      </c>
      <c r="V36" s="134"/>
    </row>
    <row r="37" spans="1:22" x14ac:dyDescent="0.25">
      <c r="A37">
        <v>100</v>
      </c>
      <c r="B37" s="184">
        <v>43082</v>
      </c>
      <c r="C37" s="10">
        <v>150</v>
      </c>
      <c r="D37" s="39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773</v>
      </c>
      <c r="J37" s="39"/>
      <c r="K37" s="39"/>
      <c r="L37" s="39"/>
      <c r="M37" s="39"/>
      <c r="O37" s="81">
        <v>0.95</v>
      </c>
      <c r="P37" s="81">
        <f t="shared" si="2"/>
        <v>60.134999999999998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780</v>
      </c>
      <c r="J38" s="39"/>
      <c r="K38" s="39"/>
      <c r="L38" s="39"/>
      <c r="M38" s="39"/>
      <c r="O38" s="81">
        <v>0.94</v>
      </c>
      <c r="P38" s="81">
        <f t="shared" si="2"/>
        <v>59.501999999999995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844</v>
      </c>
      <c r="J39" s="39"/>
      <c r="K39" s="39"/>
      <c r="L39" s="39"/>
      <c r="M39" s="39"/>
      <c r="O39" s="81">
        <v>0.93</v>
      </c>
      <c r="P39" s="81">
        <f t="shared" si="2"/>
        <v>58.869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850</v>
      </c>
      <c r="J40" s="39"/>
      <c r="K40" s="39"/>
      <c r="L40" s="39"/>
      <c r="M40" s="39"/>
      <c r="O40" s="81">
        <v>0.92</v>
      </c>
      <c r="P40" s="81">
        <f t="shared" si="2"/>
        <v>58.235999999999997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57.603000000000002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56.97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10">
        <v>150</v>
      </c>
      <c r="D44" s="39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953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954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955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7">
        <v>200</v>
      </c>
      <c r="D47" s="43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7">
        <v>200</v>
      </c>
      <c r="D62" s="43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>
        <v>200</v>
      </c>
      <c r="B63" s="184">
        <v>43278</v>
      </c>
      <c r="C63" s="10">
        <v>200</v>
      </c>
      <c r="D63" s="39">
        <v>65.473699999999994</v>
      </c>
      <c r="E63" s="39">
        <v>66.260000000000005</v>
      </c>
      <c r="F63" s="39">
        <f t="shared" ref="F63:F67" si="45">C63*(E63-D63)</f>
        <v>157.26000000000226</v>
      </c>
      <c r="G63" s="39">
        <f t="shared" ref="G63:G67" si="46">D63*C63</f>
        <v>13094.739999999998</v>
      </c>
      <c r="H63" s="222">
        <f t="shared" ref="H63:H67" si="47">(E63-D63)/D63</f>
        <v>1.2009402248536609E-2</v>
      </c>
      <c r="I63" s="193"/>
      <c r="J63" s="39"/>
      <c r="K63" s="39"/>
      <c r="L63" s="39"/>
      <c r="M63" s="39">
        <v>11.14</v>
      </c>
      <c r="V63" s="134"/>
    </row>
    <row r="64" spans="1:22" x14ac:dyDescent="0.25">
      <c r="A64" s="4">
        <v>200</v>
      </c>
      <c r="B64" s="184">
        <v>43279</v>
      </c>
      <c r="C64" s="10">
        <v>400</v>
      </c>
      <c r="D64" s="39">
        <v>62.517000000000003</v>
      </c>
      <c r="E64" s="39">
        <v>59.7</v>
      </c>
      <c r="F64" s="39">
        <f t="shared" si="45"/>
        <v>-1126.8000000000002</v>
      </c>
      <c r="G64" s="39">
        <f t="shared" si="46"/>
        <v>25006.800000000003</v>
      </c>
      <c r="H64" s="222">
        <f t="shared" si="47"/>
        <v>-4.5059743749700079E-2</v>
      </c>
      <c r="I64" s="193"/>
      <c r="J64" s="39"/>
      <c r="K64" s="39"/>
      <c r="L64" s="39"/>
      <c r="M64" s="39">
        <v>10.029999999999999</v>
      </c>
      <c r="V64" s="134"/>
    </row>
    <row r="65" spans="1:22" x14ac:dyDescent="0.25">
      <c r="A65" s="4">
        <v>200</v>
      </c>
      <c r="B65" s="184">
        <v>43283</v>
      </c>
      <c r="C65" s="10">
        <v>400</v>
      </c>
      <c r="D65" s="39">
        <v>62.52</v>
      </c>
      <c r="E65" s="39">
        <v>61.13</v>
      </c>
      <c r="F65" s="39">
        <f t="shared" si="45"/>
        <v>-556.00000000000023</v>
      </c>
      <c r="G65" s="39">
        <f t="shared" si="46"/>
        <v>25008</v>
      </c>
      <c r="H65" s="222">
        <f t="shared" si="47"/>
        <v>-2.2232885476647479E-2</v>
      </c>
      <c r="I65" s="193"/>
      <c r="J65" s="39"/>
      <c r="K65" s="39"/>
      <c r="L65" s="39"/>
      <c r="M65" s="39">
        <v>10.27</v>
      </c>
      <c r="V65" s="134"/>
    </row>
    <row r="66" spans="1:22" x14ac:dyDescent="0.25">
      <c r="A66" s="4">
        <v>200</v>
      </c>
      <c r="B66" s="184">
        <v>43285</v>
      </c>
      <c r="C66" s="10">
        <v>400</v>
      </c>
      <c r="D66" s="39">
        <v>62.52</v>
      </c>
      <c r="E66" s="39">
        <v>60.76</v>
      </c>
      <c r="F66" s="39">
        <f t="shared" si="45"/>
        <v>-704.00000000000205</v>
      </c>
      <c r="G66" s="39">
        <f t="shared" si="46"/>
        <v>25008</v>
      </c>
      <c r="H66" s="222">
        <f t="shared" si="47"/>
        <v>-2.8150991682661629E-2</v>
      </c>
      <c r="I66" s="193"/>
      <c r="J66" s="39"/>
      <c r="K66" s="39"/>
      <c r="L66" s="39"/>
      <c r="M66" s="39">
        <v>10.17</v>
      </c>
      <c r="V66" s="134"/>
    </row>
    <row r="67" spans="1:22" x14ac:dyDescent="0.25">
      <c r="A67" s="4">
        <v>100</v>
      </c>
      <c r="B67" s="184">
        <v>43286</v>
      </c>
      <c r="C67" s="10">
        <v>300</v>
      </c>
      <c r="D67" s="39">
        <v>62.563000000000002</v>
      </c>
      <c r="E67" s="39">
        <v>62.38</v>
      </c>
      <c r="F67" s="39">
        <f t="shared" si="45"/>
        <v>-54.899999999999949</v>
      </c>
      <c r="G67" s="39">
        <f t="shared" si="46"/>
        <v>18768.900000000001</v>
      </c>
      <c r="H67" s="222">
        <f t="shared" si="47"/>
        <v>-2.9250515480395735E-3</v>
      </c>
      <c r="I67" s="193"/>
      <c r="J67" s="39"/>
      <c r="K67" s="39"/>
      <c r="L67" s="39"/>
      <c r="M67" s="39">
        <v>10.44</v>
      </c>
      <c r="V67" s="134"/>
    </row>
    <row r="68" spans="1:22" x14ac:dyDescent="0.25">
      <c r="A68" s="4">
        <v>0</v>
      </c>
      <c r="B68" s="184">
        <v>43287</v>
      </c>
      <c r="C68" s="7">
        <v>200</v>
      </c>
      <c r="D68" s="43">
        <v>62.08</v>
      </c>
      <c r="E68" s="39">
        <v>63.53</v>
      </c>
      <c r="F68" s="39">
        <f t="shared" ref="F68" si="48">C68*(E68-D68)</f>
        <v>290.00000000000057</v>
      </c>
      <c r="G68" s="39">
        <f t="shared" ref="G68" si="49">D68*C68</f>
        <v>12416</v>
      </c>
      <c r="H68" s="222">
        <f t="shared" ref="H68" si="50">(E68-D68)/D68</f>
        <v>2.3356958762886643E-2</v>
      </c>
      <c r="I68" s="193"/>
      <c r="J68" s="39"/>
      <c r="K68" s="39"/>
      <c r="L68" s="39"/>
      <c r="M68" s="39">
        <v>10.63</v>
      </c>
      <c r="V68" s="134"/>
    </row>
    <row r="69" spans="1:22" x14ac:dyDescent="0.25">
      <c r="A69" s="4"/>
      <c r="B69" s="184"/>
      <c r="C69" s="10"/>
      <c r="D69" s="39"/>
      <c r="E69" s="39"/>
      <c r="F69" s="39"/>
      <c r="G69" s="39"/>
      <c r="H69" s="222"/>
      <c r="I69" s="193"/>
      <c r="J69" s="39"/>
      <c r="K69" s="39"/>
      <c r="L69" s="39"/>
      <c r="M69" s="39"/>
      <c r="V69" s="134"/>
    </row>
    <row r="70" spans="1:22" x14ac:dyDescent="0.25">
      <c r="A70" s="4"/>
      <c r="B70" s="184"/>
      <c r="C70" s="10"/>
      <c r="D70" s="39"/>
      <c r="E70" s="39"/>
      <c r="F70" s="39"/>
      <c r="G70" s="39"/>
      <c r="H70" s="222"/>
      <c r="I70" s="193"/>
      <c r="J70" s="39"/>
      <c r="K70" s="39"/>
      <c r="L70" s="39"/>
      <c r="M70" s="39"/>
    </row>
    <row r="71" spans="1:22" x14ac:dyDescent="0.25">
      <c r="A71" s="4"/>
      <c r="B71" s="184"/>
      <c r="C71" s="10"/>
      <c r="D71" s="39"/>
      <c r="E71" s="39"/>
      <c r="F71" s="39"/>
      <c r="G71" s="39"/>
      <c r="H71" s="222"/>
      <c r="I71" s="193"/>
      <c r="J71" s="39"/>
      <c r="K71" s="39"/>
      <c r="L71" s="39"/>
      <c r="M71" s="39"/>
    </row>
    <row r="72" spans="1:22" x14ac:dyDescent="0.25">
      <c r="A72" s="4"/>
      <c r="B72" s="184"/>
      <c r="C72" s="10"/>
      <c r="D72" s="39"/>
      <c r="E72" s="39"/>
      <c r="F72" s="39"/>
      <c r="G72" s="39"/>
      <c r="H72" s="222"/>
      <c r="I72" s="193"/>
      <c r="J72" s="39"/>
      <c r="K72" s="39"/>
      <c r="L72" s="39"/>
      <c r="M72" s="39"/>
    </row>
    <row r="73" spans="1:22" x14ac:dyDescent="0.25">
      <c r="A73" s="4"/>
      <c r="B73" s="184"/>
      <c r="C73" s="10"/>
      <c r="D73" s="39"/>
      <c r="E73" s="39"/>
      <c r="F73" s="39"/>
      <c r="G73" s="39"/>
      <c r="H73" s="222"/>
      <c r="I73" s="193"/>
      <c r="J73" s="39"/>
      <c r="K73" s="39"/>
      <c r="L73" s="39"/>
      <c r="M73" s="39"/>
    </row>
    <row r="74" spans="1:22" x14ac:dyDescent="0.25">
      <c r="A74" s="4"/>
      <c r="B74" s="184"/>
      <c r="C74" s="10"/>
      <c r="D74" s="39"/>
      <c r="E74" s="39"/>
      <c r="F74" s="39"/>
      <c r="G74" s="39"/>
      <c r="H74" s="222"/>
      <c r="I74" s="193"/>
      <c r="J74" s="39"/>
      <c r="K74" s="39"/>
      <c r="L74" s="39"/>
      <c r="M74" s="39"/>
    </row>
    <row r="75" spans="1:22" x14ac:dyDescent="0.25">
      <c r="A75" s="4"/>
      <c r="B75" s="184"/>
      <c r="C75" s="10"/>
      <c r="D75" s="39"/>
      <c r="E75" s="39"/>
      <c r="F75" s="39"/>
      <c r="G75" s="39"/>
      <c r="H75" s="222"/>
      <c r="I75" s="193"/>
      <c r="J75" s="39"/>
      <c r="K75" s="39"/>
      <c r="L75" s="39"/>
      <c r="M75" s="39"/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554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554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793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734</v>
      </c>
      <c r="B84" s="496"/>
      <c r="C84" s="497"/>
      <c r="D84" s="499"/>
      <c r="E84" s="499"/>
      <c r="F84" s="499"/>
      <c r="G84" s="496"/>
      <c r="H84" s="513"/>
      <c r="I84" s="794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794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794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794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794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794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794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794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794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794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795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SumByColor($A$19,C84:C99)</f>
        <v>0</v>
      </c>
      <c r="D101" s="520"/>
      <c r="E101" s="520"/>
      <c r="F101" s="521">
        <f>SumByColor($A$19,F84:F99)</f>
        <v>0</v>
      </c>
      <c r="G101" s="520"/>
      <c r="H101" s="520">
        <f>SumByColor($A$19,H84:H99)</f>
        <v>0</v>
      </c>
      <c r="I101" s="796"/>
      <c r="J101" s="520"/>
      <c r="K101" s="521">
        <f>SumByColor($A$19,K85:K99)</f>
        <v>0</v>
      </c>
      <c r="L101" s="520"/>
      <c r="M101" s="521">
        <f>SumByColor($A$19,M84:M99)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77:F80 H77:H80 H25:H64 F25:F64">
    <cfRule type="expression" dxfId="1344" priority="29">
      <formula>F7&gt;0</formula>
    </cfRule>
    <cfRule type="expression" dxfId="1343" priority="30">
      <formula>F7&lt;0</formula>
    </cfRule>
  </conditionalFormatting>
  <conditionalFormatting sqref="Q8">
    <cfRule type="expression" dxfId="1342" priority="27">
      <formula>Q8&gt;0</formula>
    </cfRule>
    <cfRule type="expression" dxfId="1341" priority="28">
      <formula>Q8&lt;0</formula>
    </cfRule>
  </conditionalFormatting>
  <conditionalFormatting sqref="F105:F126">
    <cfRule type="expression" dxfId="1340" priority="21">
      <formula>F105&gt;0</formula>
    </cfRule>
    <cfRule type="expression" dxfId="1339" priority="22">
      <formula>F105&lt;0</formula>
    </cfRule>
  </conditionalFormatting>
  <conditionalFormatting sqref="H105:H126">
    <cfRule type="expression" dxfId="1338" priority="19">
      <formula>H105&gt;0</formula>
    </cfRule>
    <cfRule type="expression" dxfId="1337" priority="20">
      <formula>H105&lt;0</formula>
    </cfRule>
  </conditionalFormatting>
  <conditionalFormatting sqref="Q10">
    <cfRule type="expression" dxfId="1336" priority="17">
      <formula>Q10&gt;0</formula>
    </cfRule>
    <cfRule type="expression" dxfId="1335" priority="18">
      <formula>Q10&lt;0</formula>
    </cfRule>
  </conditionalFormatting>
  <conditionalFormatting sqref="J25:J38">
    <cfRule type="expression" dxfId="1334" priority="15">
      <formula>J25&gt;0</formula>
    </cfRule>
    <cfRule type="expression" dxfId="1333" priority="16">
      <formula>J25&lt;0</formula>
    </cfRule>
  </conditionalFormatting>
  <conditionalFormatting sqref="K25:K38">
    <cfRule type="expression" dxfId="1332" priority="13">
      <formula>K25&gt;0</formula>
    </cfRule>
    <cfRule type="expression" dxfId="1331" priority="14">
      <formula>K25&lt;0</formula>
    </cfRule>
  </conditionalFormatting>
  <conditionalFormatting sqref="L25:L29 L31:L38">
    <cfRule type="expression" dxfId="1330" priority="11">
      <formula>L25&gt;0</formula>
    </cfRule>
    <cfRule type="expression" dxfId="1329" priority="12">
      <formula>L25&lt;0</formula>
    </cfRule>
  </conditionalFormatting>
  <conditionalFormatting sqref="M25:M38">
    <cfRule type="expression" dxfId="1328" priority="9">
      <formula>M25&gt;0</formula>
    </cfRule>
    <cfRule type="expression" dxfId="1327" priority="10">
      <formula>M25&lt;0</formula>
    </cfRule>
  </conditionalFormatting>
  <conditionalFormatting sqref="F73:F76 H73:H76">
    <cfRule type="expression" dxfId="1326" priority="5">
      <formula>F73&gt;0</formula>
    </cfRule>
    <cfRule type="expression" dxfId="1325" priority="6">
      <formula>F73&lt;0</formula>
    </cfRule>
  </conditionalFormatting>
  <conditionalFormatting sqref="F69:F72 H69:H72">
    <cfRule type="expression" dxfId="1324" priority="3">
      <formula>F69&gt;0</formula>
    </cfRule>
    <cfRule type="expression" dxfId="1323" priority="4">
      <formula>F69&lt;0</formula>
    </cfRule>
  </conditionalFormatting>
  <conditionalFormatting sqref="F65:F68 H65:H68">
    <cfRule type="expression" dxfId="1322" priority="1">
      <formula>F65&gt;0</formula>
    </cfRule>
    <cfRule type="expression" dxfId="1321" priority="2">
      <formula>F65&lt;0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675.94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675.94</v>
      </c>
      <c r="R4" s="495">
        <v>3.8999999999999998E-3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743.53400000000011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736.77460000000008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730.01520000000016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723.25580000000014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716.49640000000011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709.73700000000008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702.97760000000005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696.21820000000002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689.45880000000011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682.69940000000008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675.94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669.18060000000003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662.4212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655.66180000000008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648.90240000000006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642.14300000000003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635.3836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628.62420000000009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621.86480000000006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615.10540000000003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608.34600000000012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0" priority="21">
      <formula>F47&gt;0</formula>
    </cfRule>
    <cfRule type="expression" dxfId="1319" priority="22">
      <formula>F47&lt;0</formula>
    </cfRule>
  </conditionalFormatting>
  <conditionalFormatting sqref="Q7">
    <cfRule type="expression" dxfId="1318" priority="19">
      <formula>Q7&gt;0</formula>
    </cfRule>
    <cfRule type="expression" dxfId="1317" priority="20">
      <formula>Q7&lt;0</formula>
    </cfRule>
  </conditionalFormatting>
  <conditionalFormatting sqref="Q8">
    <cfRule type="expression" dxfId="1316" priority="17">
      <formula>Q8&gt;0</formula>
    </cfRule>
    <cfRule type="expression" dxfId="1315" priority="18">
      <formula>Q8&lt;0</formula>
    </cfRule>
  </conditionalFormatting>
  <conditionalFormatting sqref="F25:F46">
    <cfRule type="expression" dxfId="1314" priority="15">
      <formula>F25&gt;0</formula>
    </cfRule>
    <cfRule type="expression" dxfId="1313" priority="16">
      <formula>F25&lt;0</formula>
    </cfRule>
  </conditionalFormatting>
  <conditionalFormatting sqref="H25:H46">
    <cfRule type="expression" dxfId="1312" priority="13">
      <formula>H25&gt;0</formula>
    </cfRule>
    <cfRule type="expression" dxfId="1311" priority="14">
      <formula>H25&lt;0</formula>
    </cfRule>
  </conditionalFormatting>
  <conditionalFormatting sqref="F89:F110">
    <cfRule type="expression" dxfId="1310" priority="11">
      <formula>F89&gt;0</formula>
    </cfRule>
    <cfRule type="expression" dxfId="1309" priority="12">
      <formula>F89&lt;0</formula>
    </cfRule>
  </conditionalFormatting>
  <conditionalFormatting sqref="H89:H110">
    <cfRule type="expression" dxfId="1308" priority="9">
      <formula>H89&gt;0</formula>
    </cfRule>
    <cfRule type="expression" dxfId="1307" priority="10">
      <formula>H89&lt;0</formula>
    </cfRule>
  </conditionalFormatting>
  <conditionalFormatting sqref="Q10">
    <cfRule type="expression" dxfId="1306" priority="7">
      <formula>Q10&gt;0</formula>
    </cfRule>
    <cfRule type="expression" dxfId="1305" priority="8">
      <formula>Q10&lt;0</formula>
    </cfRule>
  </conditionalFormatting>
  <conditionalFormatting sqref="J25:J38">
    <cfRule type="expression" dxfId="1304" priority="5">
      <formula>J25&gt;0</formula>
    </cfRule>
    <cfRule type="expression" dxfId="1303" priority="6">
      <formula>J25&lt;0</formula>
    </cfRule>
  </conditionalFormatting>
  <conditionalFormatting sqref="K25:K38">
    <cfRule type="expression" dxfId="1302" priority="3">
      <formula>K25&gt;0</formula>
    </cfRule>
    <cfRule type="expression" dxfId="1301" priority="4">
      <formula>K25&lt;0</formula>
    </cfRule>
  </conditionalFormatting>
  <conditionalFormatting sqref="L25:L38">
    <cfRule type="expression" dxfId="1300" priority="1">
      <formula>L25&gt;0</formula>
    </cfRule>
    <cfRule type="expression" dxfId="129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52.13</v>
      </c>
      <c r="T3" s="1">
        <v>43161</v>
      </c>
      <c r="U3" t="s">
        <v>989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52.13</v>
      </c>
      <c r="R4" s="495">
        <v>-1E-3</v>
      </c>
      <c r="T4" s="770"/>
      <c r="U4" s="30" t="s">
        <v>990</v>
      </c>
    </row>
    <row r="5" spans="1:21" x14ac:dyDescent="0.25">
      <c r="B5" s="72"/>
      <c r="C5" s="4"/>
      <c r="D5" s="3"/>
      <c r="E5" s="3"/>
      <c r="F5" s="3"/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1902.8299999999981</v>
      </c>
      <c r="R7">
        <v>0</v>
      </c>
      <c r="T7" s="1">
        <v>43244</v>
      </c>
      <c r="U7" t="s">
        <v>1099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2.6472280836370609E-2</v>
      </c>
      <c r="R11">
        <f>0.345</f>
        <v>0.34499999999999997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Q4/4.4</f>
        <v>11.847727272727273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57.343000000000011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56.821700000000007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2"/>
        <v>56.300400000000003</v>
      </c>
    </row>
    <row r="20" spans="1:16" x14ac:dyDescent="0.25">
      <c r="O20" s="81">
        <v>1.07</v>
      </c>
      <c r="P20" s="81">
        <f t="shared" si="2"/>
        <v>55.779100000000007</v>
      </c>
    </row>
    <row r="21" spans="1:16" x14ac:dyDescent="0.25">
      <c r="O21" s="81">
        <v>1.06</v>
      </c>
      <c r="P21" s="81">
        <f t="shared" si="2"/>
        <v>55.257800000000003</v>
      </c>
    </row>
    <row r="22" spans="1:16" x14ac:dyDescent="0.25">
      <c r="O22" s="81">
        <v>1.05</v>
      </c>
      <c r="P22" s="81">
        <f t="shared" si="2"/>
        <v>54.736500000000007</v>
      </c>
    </row>
    <row r="23" spans="1:16" x14ac:dyDescent="0.25">
      <c r="O23" s="81">
        <v>1.04</v>
      </c>
      <c r="P23" s="81">
        <f t="shared" si="2"/>
        <v>54.215200000000003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1.03</v>
      </c>
      <c r="P24" s="81">
        <f t="shared" si="2"/>
        <v>53.693900000000006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53.172600000000003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52.651300000000006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52.13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51.608699999999999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51.087400000000002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9">C30*(E30-D30)</f>
        <v>1119.9450000000006</v>
      </c>
      <c r="G30" s="39">
        <f t="shared" ref="G30:G35" si="10">D30*C30</f>
        <v>5537.0549999999994</v>
      </c>
      <c r="H30" s="222">
        <f t="shared" ref="H30:H35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50.566099999999999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50.044800000000002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49.523499999999999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49.002200000000002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48.480900000000005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9"/>
        <v>1850.8600000000001</v>
      </c>
      <c r="G35" s="39">
        <f t="shared" si="10"/>
        <v>751.14</v>
      </c>
      <c r="H35" s="222">
        <f t="shared" si="11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47.959600000000002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47.438300000000005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46.917000000000002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8" priority="35">
      <formula>F47&gt;0</formula>
    </cfRule>
    <cfRule type="expression" dxfId="1297" priority="36">
      <formula>F47&lt;0</formula>
    </cfRule>
  </conditionalFormatting>
  <conditionalFormatting sqref="Q7">
    <cfRule type="expression" dxfId="1296" priority="33">
      <formula>Q7&gt;0</formula>
    </cfRule>
    <cfRule type="expression" dxfId="1295" priority="34">
      <formula>Q7&lt;0</formula>
    </cfRule>
  </conditionalFormatting>
  <conditionalFormatting sqref="Q8">
    <cfRule type="expression" dxfId="1294" priority="31">
      <formula>Q8&gt;0</formula>
    </cfRule>
    <cfRule type="expression" dxfId="1293" priority="32">
      <formula>Q8&lt;0</formula>
    </cfRule>
  </conditionalFormatting>
  <conditionalFormatting sqref="F33:F46">
    <cfRule type="expression" dxfId="1292" priority="29">
      <formula>F33&gt;0</formula>
    </cfRule>
    <cfRule type="expression" dxfId="1291" priority="30">
      <formula>F33&lt;0</formula>
    </cfRule>
  </conditionalFormatting>
  <conditionalFormatting sqref="H33:H46">
    <cfRule type="expression" dxfId="1290" priority="27">
      <formula>H33&gt;0</formula>
    </cfRule>
    <cfRule type="expression" dxfId="1289" priority="28">
      <formula>H33&lt;0</formula>
    </cfRule>
  </conditionalFormatting>
  <conditionalFormatting sqref="Q10">
    <cfRule type="expression" dxfId="1288" priority="25">
      <formula>Q10&gt;0</formula>
    </cfRule>
    <cfRule type="expression" dxfId="1287" priority="26">
      <formula>Q10&lt;0</formula>
    </cfRule>
  </conditionalFormatting>
  <conditionalFormatting sqref="J25:J38">
    <cfRule type="expression" dxfId="1286" priority="23">
      <formula>J25&gt;0</formula>
    </cfRule>
    <cfRule type="expression" dxfId="1285" priority="24">
      <formula>J25&lt;0</formula>
    </cfRule>
  </conditionalFormatting>
  <conditionalFormatting sqref="K25:K38">
    <cfRule type="expression" dxfId="1284" priority="21">
      <formula>K25&gt;0</formula>
    </cfRule>
    <cfRule type="expression" dxfId="1283" priority="22">
      <formula>K25&lt;0</formula>
    </cfRule>
  </conditionalFormatting>
  <conditionalFormatting sqref="L25">
    <cfRule type="expression" dxfId="1282" priority="19">
      <formula>L25&gt;0</formula>
    </cfRule>
    <cfRule type="expression" dxfId="1281" priority="20">
      <formula>L25&lt;0</formula>
    </cfRule>
  </conditionalFormatting>
  <conditionalFormatting sqref="F89:F110">
    <cfRule type="expression" dxfId="1280" priority="17">
      <formula>F89&gt;0</formula>
    </cfRule>
    <cfRule type="expression" dxfId="1279" priority="18">
      <formula>F89&lt;0</formula>
    </cfRule>
  </conditionalFormatting>
  <conditionalFormatting sqref="H89:H110">
    <cfRule type="expression" dxfId="1278" priority="15">
      <formula>H89&gt;0</formula>
    </cfRule>
    <cfRule type="expression" dxfId="1277" priority="16">
      <formula>H89&lt;0</formula>
    </cfRule>
  </conditionalFormatting>
  <conditionalFormatting sqref="J89:J102">
    <cfRule type="expression" dxfId="1276" priority="13">
      <formula>J89&gt;0</formula>
    </cfRule>
    <cfRule type="expression" dxfId="1275" priority="14">
      <formula>J89&lt;0</formula>
    </cfRule>
  </conditionalFormatting>
  <conditionalFormatting sqref="K89:K102">
    <cfRule type="expression" dxfId="1274" priority="11">
      <formula>K89&gt;0</formula>
    </cfRule>
    <cfRule type="expression" dxfId="1273" priority="12">
      <formula>K89&lt;0</formula>
    </cfRule>
  </conditionalFormatting>
  <conditionalFormatting sqref="L89:L102">
    <cfRule type="expression" dxfId="1272" priority="9">
      <formula>L89&gt;0</formula>
    </cfRule>
    <cfRule type="expression" dxfId="1271" priority="10">
      <formula>L89&lt;0</formula>
    </cfRule>
  </conditionalFormatting>
  <conditionalFormatting sqref="F29:F32">
    <cfRule type="expression" dxfId="1270" priority="7">
      <formula>F29&gt;0</formula>
    </cfRule>
    <cfRule type="expression" dxfId="1269" priority="8">
      <formula>F29&lt;0</formula>
    </cfRule>
  </conditionalFormatting>
  <conditionalFormatting sqref="H29:H32">
    <cfRule type="expression" dxfId="1268" priority="5">
      <formula>H29&gt;0</formula>
    </cfRule>
    <cfRule type="expression" dxfId="1267" priority="6">
      <formula>H29&lt;0</formula>
    </cfRule>
  </conditionalFormatting>
  <conditionalFormatting sqref="F25:F28">
    <cfRule type="expression" dxfId="1266" priority="3">
      <formula>F25&gt;0</formula>
    </cfRule>
    <cfRule type="expression" dxfId="1265" priority="4">
      <formula>F25&lt;0</formula>
    </cfRule>
  </conditionalFormatting>
  <conditionalFormatting sqref="H25:H28">
    <cfRule type="expression" dxfId="1264" priority="1">
      <formula>H25&gt;0</formula>
    </cfRule>
    <cfRule type="expression" dxfId="12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2" priority="31">
      <formula>F47&gt;0</formula>
    </cfRule>
    <cfRule type="expression" dxfId="1261" priority="32">
      <formula>F47&lt;0</formula>
    </cfRule>
  </conditionalFormatting>
  <conditionalFormatting sqref="Q7">
    <cfRule type="expression" dxfId="1260" priority="29">
      <formula>Q7&gt;0</formula>
    </cfRule>
    <cfRule type="expression" dxfId="1259" priority="30">
      <formula>Q7&lt;0</formula>
    </cfRule>
  </conditionalFormatting>
  <conditionalFormatting sqref="Q8">
    <cfRule type="expression" dxfId="1258" priority="27">
      <formula>Q8&gt;0</formula>
    </cfRule>
    <cfRule type="expression" dxfId="1257" priority="28">
      <formula>Q8&lt;0</formula>
    </cfRule>
  </conditionalFormatting>
  <conditionalFormatting sqref="F30:F46">
    <cfRule type="expression" dxfId="1256" priority="25">
      <formula>F30&gt;0</formula>
    </cfRule>
    <cfRule type="expression" dxfId="1255" priority="26">
      <formula>F30&lt;0</formula>
    </cfRule>
  </conditionalFormatting>
  <conditionalFormatting sqref="H30:H46">
    <cfRule type="expression" dxfId="1254" priority="23">
      <formula>H30&gt;0</formula>
    </cfRule>
    <cfRule type="expression" dxfId="1253" priority="24">
      <formula>H30&lt;0</formula>
    </cfRule>
  </conditionalFormatting>
  <conditionalFormatting sqref="Q10">
    <cfRule type="expression" dxfId="1252" priority="21">
      <formula>Q10&gt;0</formula>
    </cfRule>
    <cfRule type="expression" dxfId="1251" priority="22">
      <formula>Q10&lt;0</formula>
    </cfRule>
  </conditionalFormatting>
  <conditionalFormatting sqref="J25:J38">
    <cfRule type="expression" dxfId="1250" priority="19">
      <formula>J25&gt;0</formula>
    </cfRule>
    <cfRule type="expression" dxfId="1249" priority="20">
      <formula>J25&lt;0</formula>
    </cfRule>
  </conditionalFormatting>
  <conditionalFormatting sqref="K25:K38">
    <cfRule type="expression" dxfId="1248" priority="17">
      <formula>K25&gt;0</formula>
    </cfRule>
    <cfRule type="expression" dxfId="1247" priority="18">
      <formula>K25&lt;0</formula>
    </cfRule>
  </conditionalFormatting>
  <conditionalFormatting sqref="L25:L38">
    <cfRule type="expression" dxfId="1246" priority="15">
      <formula>L25&gt;0</formula>
    </cfRule>
    <cfRule type="expression" dxfId="1245" priority="16">
      <formula>L25&lt;0</formula>
    </cfRule>
  </conditionalFormatting>
  <conditionalFormatting sqref="F89:F110">
    <cfRule type="expression" dxfId="1244" priority="13">
      <formula>F89&gt;0</formula>
    </cfRule>
    <cfRule type="expression" dxfId="1243" priority="14">
      <formula>F89&lt;0</formula>
    </cfRule>
  </conditionalFormatting>
  <conditionalFormatting sqref="H89:H110">
    <cfRule type="expression" dxfId="1242" priority="11">
      <formula>H89&gt;0</formula>
    </cfRule>
    <cfRule type="expression" dxfId="1241" priority="12">
      <formula>H89&lt;0</formula>
    </cfRule>
  </conditionalFormatting>
  <conditionalFormatting sqref="J89:J102">
    <cfRule type="expression" dxfId="1240" priority="9">
      <formula>J89&gt;0</formula>
    </cfRule>
    <cfRule type="expression" dxfId="1239" priority="10">
      <formula>J89&lt;0</formula>
    </cfRule>
  </conditionalFormatting>
  <conditionalFormatting sqref="K89:K102">
    <cfRule type="expression" dxfId="1238" priority="7">
      <formula>K89&gt;0</formula>
    </cfRule>
    <cfRule type="expression" dxfId="1237" priority="8">
      <formula>K89&lt;0</formula>
    </cfRule>
  </conditionalFormatting>
  <conditionalFormatting sqref="L89:L102">
    <cfRule type="expression" dxfId="1236" priority="5">
      <formula>L89&gt;0</formula>
    </cfRule>
    <cfRule type="expression" dxfId="1235" priority="6">
      <formula>L89&lt;0</formula>
    </cfRule>
  </conditionalFormatting>
  <conditionalFormatting sqref="F25:F29">
    <cfRule type="expression" dxfId="1234" priority="3">
      <formula>F25&gt;0</formula>
    </cfRule>
    <cfRule type="expression" dxfId="1233" priority="4">
      <formula>F25&lt;0</formula>
    </cfRule>
  </conditionalFormatting>
  <conditionalFormatting sqref="H25:H29">
    <cfRule type="expression" dxfId="1232" priority="1">
      <formula>H25&gt;0</formula>
    </cfRule>
    <cfRule type="expression" dxfId="12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3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63.95</v>
      </c>
      <c r="T3" s="1">
        <v>43223</v>
      </c>
      <c r="U3" t="s">
        <v>1054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63.95</v>
      </c>
      <c r="R4" s="495">
        <v>2.0899999999999998E-2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43248</v>
      </c>
      <c r="U5" t="s">
        <v>1114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77.670000000000073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77.670000000000073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3.9093041438623924E-2</v>
      </c>
      <c r="R11">
        <f>0.625</f>
        <v>0.625</v>
      </c>
    </row>
    <row r="12" spans="1:21" x14ac:dyDescent="0.25">
      <c r="H12" s="70"/>
      <c r="O12" s="11" t="s">
        <v>1010</v>
      </c>
      <c r="Q12" s="1"/>
    </row>
    <row r="13" spans="1:21" x14ac:dyDescent="0.25">
      <c r="H13" s="70"/>
      <c r="O13" s="11" t="s">
        <v>973</v>
      </c>
      <c r="Q13">
        <f>Q4/3.79</f>
        <v>16.87335092348285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6466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973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70.345000000000013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69.705500000000015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69.066000000000003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68.426500000000004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67.787000000000006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67.147500000000008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66.50800000000001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65.868500000000012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65.228999999999999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64.589500000000001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63.95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63.310500000000005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62.670999999999999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62.031500000000001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61.392000000000003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60.752499999999998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60.113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59.473500000000008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58.834000000000003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58.194500000000005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57.555000000000007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0" priority="31">
      <formula>F47&gt;0</formula>
    </cfRule>
    <cfRule type="expression" dxfId="1229" priority="32">
      <formula>F47&lt;0</formula>
    </cfRule>
  </conditionalFormatting>
  <conditionalFormatting sqref="Q7">
    <cfRule type="expression" dxfId="1228" priority="29">
      <formula>Q7&gt;0</formula>
    </cfRule>
    <cfRule type="expression" dxfId="1227" priority="30">
      <formula>Q7&lt;0</formula>
    </cfRule>
  </conditionalFormatting>
  <conditionalFormatting sqref="Q8">
    <cfRule type="expression" dxfId="1226" priority="27">
      <formula>Q8&gt;0</formula>
    </cfRule>
    <cfRule type="expression" dxfId="1225" priority="28">
      <formula>Q8&lt;0</formula>
    </cfRule>
  </conditionalFormatting>
  <conditionalFormatting sqref="F30:F46">
    <cfRule type="expression" dxfId="1224" priority="25">
      <formula>F30&gt;0</formula>
    </cfRule>
    <cfRule type="expression" dxfId="1223" priority="26">
      <formula>F30&lt;0</formula>
    </cfRule>
  </conditionalFormatting>
  <conditionalFormatting sqref="H30:H46">
    <cfRule type="expression" dxfId="1222" priority="23">
      <formula>H30&gt;0</formula>
    </cfRule>
    <cfRule type="expression" dxfId="1221" priority="24">
      <formula>H30&lt;0</formula>
    </cfRule>
  </conditionalFormatting>
  <conditionalFormatting sqref="Q10">
    <cfRule type="expression" dxfId="1220" priority="21">
      <formula>Q10&gt;0</formula>
    </cfRule>
    <cfRule type="expression" dxfId="1219" priority="22">
      <formula>Q10&lt;0</formula>
    </cfRule>
  </conditionalFormatting>
  <conditionalFormatting sqref="J25:J38">
    <cfRule type="expression" dxfId="1218" priority="19">
      <formula>J25&gt;0</formula>
    </cfRule>
    <cfRule type="expression" dxfId="1217" priority="20">
      <formula>J25&lt;0</formula>
    </cfRule>
  </conditionalFormatting>
  <conditionalFormatting sqref="K25:K38">
    <cfRule type="expression" dxfId="1216" priority="17">
      <formula>K25&gt;0</formula>
    </cfRule>
    <cfRule type="expression" dxfId="1215" priority="18">
      <formula>K25&lt;0</formula>
    </cfRule>
  </conditionalFormatting>
  <conditionalFormatting sqref="L25:L32 L34:L38">
    <cfRule type="expression" dxfId="1214" priority="15">
      <formula>L25&gt;0</formula>
    </cfRule>
    <cfRule type="expression" dxfId="1213" priority="16">
      <formula>L25&lt;0</formula>
    </cfRule>
  </conditionalFormatting>
  <conditionalFormatting sqref="F89:F110">
    <cfRule type="expression" dxfId="1212" priority="13">
      <formula>F89&gt;0</formula>
    </cfRule>
    <cfRule type="expression" dxfId="1211" priority="14">
      <formula>F89&lt;0</formula>
    </cfRule>
  </conditionalFormatting>
  <conditionalFormatting sqref="H89:H110">
    <cfRule type="expression" dxfId="1210" priority="11">
      <formula>H89&gt;0</formula>
    </cfRule>
    <cfRule type="expression" dxfId="1209" priority="12">
      <formula>H89&lt;0</formula>
    </cfRule>
  </conditionalFormatting>
  <conditionalFormatting sqref="J89:J102">
    <cfRule type="expression" dxfId="1208" priority="9">
      <formula>J89&gt;0</formula>
    </cfRule>
    <cfRule type="expression" dxfId="1207" priority="10">
      <formula>J89&lt;0</formula>
    </cfRule>
  </conditionalFormatting>
  <conditionalFormatting sqref="K89:K102">
    <cfRule type="expression" dxfId="1206" priority="7">
      <formula>K89&gt;0</formula>
    </cfRule>
    <cfRule type="expression" dxfId="1205" priority="8">
      <formula>K89&lt;0</formula>
    </cfRule>
  </conditionalFormatting>
  <conditionalFormatting sqref="L89:L102">
    <cfRule type="expression" dxfId="1204" priority="5">
      <formula>L89&gt;0</formula>
    </cfRule>
    <cfRule type="expression" dxfId="1203" priority="6">
      <formula>L89&lt;0</formula>
    </cfRule>
  </conditionalFormatting>
  <conditionalFormatting sqref="F25:F29">
    <cfRule type="expression" dxfId="1202" priority="3">
      <formula>F25&gt;0</formula>
    </cfRule>
    <cfRule type="expression" dxfId="1201" priority="4">
      <formula>F25&lt;0</formula>
    </cfRule>
  </conditionalFormatting>
  <conditionalFormatting sqref="H25:H29">
    <cfRule type="expression" dxfId="1200" priority="1">
      <formula>H25&gt;0</formula>
    </cfRule>
    <cfRule type="expression" dxfId="11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926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36.51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36.51</v>
      </c>
      <c r="R4" s="495">
        <v>1.3599999999999999E-2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7.2308956450287606E-2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40.161000000000001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39.795900000000003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39.430799999999998</v>
      </c>
    </row>
    <row r="20" spans="1:16" x14ac:dyDescent="0.25">
      <c r="O20" s="81">
        <v>1.07</v>
      </c>
      <c r="P20" s="81">
        <f t="shared" si="1"/>
        <v>39.0657</v>
      </c>
    </row>
    <row r="21" spans="1:16" x14ac:dyDescent="0.25">
      <c r="O21" s="81">
        <v>1.06</v>
      </c>
      <c r="P21" s="81">
        <f t="shared" si="1"/>
        <v>38.700600000000001</v>
      </c>
    </row>
    <row r="22" spans="1:16" x14ac:dyDescent="0.25">
      <c r="O22" s="81">
        <v>1.05</v>
      </c>
      <c r="P22" s="81">
        <f t="shared" si="1"/>
        <v>38.335499999999996</v>
      </c>
    </row>
    <row r="23" spans="1:16" x14ac:dyDescent="0.25">
      <c r="O23" s="81">
        <v>1.04</v>
      </c>
      <c r="P23" s="81">
        <f t="shared" si="1"/>
        <v>37.970399999999998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1.03</v>
      </c>
      <c r="P24" s="81">
        <f t="shared" si="1"/>
        <v>37.6053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37.240200000000002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36.875099999999996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36.51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36.1449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35.779799999999994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35.414699999999996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35.049599999999998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34.6845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34.319399999999995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33.954300000000003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33.589199999999998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33.2241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32.859000000000002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8" priority="35">
      <formula>F47&gt;0</formula>
    </cfRule>
    <cfRule type="expression" dxfId="1197" priority="36">
      <formula>F47&lt;0</formula>
    </cfRule>
  </conditionalFormatting>
  <conditionalFormatting sqref="Q7">
    <cfRule type="expression" dxfId="1196" priority="33">
      <formula>Q7&gt;0</formula>
    </cfRule>
    <cfRule type="expression" dxfId="1195" priority="34">
      <formula>Q7&lt;0</formula>
    </cfRule>
  </conditionalFormatting>
  <conditionalFormatting sqref="Q8">
    <cfRule type="expression" dxfId="1194" priority="31">
      <formula>Q8&gt;0</formula>
    </cfRule>
    <cfRule type="expression" dxfId="1193" priority="32">
      <formula>Q8&lt;0</formula>
    </cfRule>
  </conditionalFormatting>
  <conditionalFormatting sqref="F32:F46">
    <cfRule type="expression" dxfId="1192" priority="29">
      <formula>F32&gt;0</formula>
    </cfRule>
    <cfRule type="expression" dxfId="1191" priority="30">
      <formula>F32&lt;0</formula>
    </cfRule>
  </conditionalFormatting>
  <conditionalFormatting sqref="H32:H46">
    <cfRule type="expression" dxfId="1190" priority="27">
      <formula>H32&gt;0</formula>
    </cfRule>
    <cfRule type="expression" dxfId="1189" priority="28">
      <formula>H32&lt;0</formula>
    </cfRule>
  </conditionalFormatting>
  <conditionalFormatting sqref="Q10">
    <cfRule type="expression" dxfId="1188" priority="25">
      <formula>Q10&gt;0</formula>
    </cfRule>
    <cfRule type="expression" dxfId="1187" priority="26">
      <formula>Q10&lt;0</formula>
    </cfRule>
  </conditionalFormatting>
  <conditionalFormatting sqref="J25:J38">
    <cfRule type="expression" dxfId="1186" priority="23">
      <formula>J25&gt;0</formula>
    </cfRule>
    <cfRule type="expression" dxfId="1185" priority="24">
      <formula>J25&lt;0</formula>
    </cfRule>
  </conditionalFormatting>
  <conditionalFormatting sqref="K25:K38">
    <cfRule type="expression" dxfId="1184" priority="21">
      <formula>K25&gt;0</formula>
    </cfRule>
    <cfRule type="expression" dxfId="1183" priority="22">
      <formula>K25&lt;0</formula>
    </cfRule>
  </conditionalFormatting>
  <conditionalFormatting sqref="L25:L38">
    <cfRule type="expression" dxfId="1182" priority="19">
      <formula>L25&gt;0</formula>
    </cfRule>
    <cfRule type="expression" dxfId="1181" priority="20">
      <formula>L25&lt;0</formula>
    </cfRule>
  </conditionalFormatting>
  <conditionalFormatting sqref="F89:F110">
    <cfRule type="expression" dxfId="1180" priority="17">
      <formula>F89&gt;0</formula>
    </cfRule>
    <cfRule type="expression" dxfId="1179" priority="18">
      <formula>F89&lt;0</formula>
    </cfRule>
  </conditionalFormatting>
  <conditionalFormatting sqref="H89:H110">
    <cfRule type="expression" dxfId="1178" priority="15">
      <formula>H89&gt;0</formula>
    </cfRule>
    <cfRule type="expression" dxfId="1177" priority="16">
      <formula>H89&lt;0</formula>
    </cfRule>
  </conditionalFormatting>
  <conditionalFormatting sqref="J89:J102">
    <cfRule type="expression" dxfId="1176" priority="13">
      <formula>J89&gt;0</formula>
    </cfRule>
    <cfRule type="expression" dxfId="1175" priority="14">
      <formula>J89&lt;0</formula>
    </cfRule>
  </conditionalFormatting>
  <conditionalFormatting sqref="K89:K102">
    <cfRule type="expression" dxfId="1174" priority="11">
      <formula>K89&gt;0</formula>
    </cfRule>
    <cfRule type="expression" dxfId="1173" priority="12">
      <formula>K89&lt;0</formula>
    </cfRule>
  </conditionalFormatting>
  <conditionalFormatting sqref="L89:L102">
    <cfRule type="expression" dxfId="1172" priority="9">
      <formula>L89&gt;0</formula>
    </cfRule>
    <cfRule type="expression" dxfId="1171" priority="10">
      <formula>L89&lt;0</formula>
    </cfRule>
  </conditionalFormatting>
  <conditionalFormatting sqref="F25:F28">
    <cfRule type="expression" dxfId="1170" priority="7">
      <formula>F25&gt;0</formula>
    </cfRule>
    <cfRule type="expression" dxfId="1169" priority="8">
      <formula>F25&lt;0</formula>
    </cfRule>
  </conditionalFormatting>
  <conditionalFormatting sqref="H25:H28">
    <cfRule type="expression" dxfId="1168" priority="5">
      <formula>H25&gt;0</formula>
    </cfRule>
    <cfRule type="expression" dxfId="1167" priority="6">
      <formula>H25&lt;0</formula>
    </cfRule>
  </conditionalFormatting>
  <conditionalFormatting sqref="F29:F31">
    <cfRule type="expression" dxfId="1166" priority="3">
      <formula>F29&gt;0</formula>
    </cfRule>
    <cfRule type="expression" dxfId="1165" priority="4">
      <formula>F29&lt;0</formula>
    </cfRule>
  </conditionalFormatting>
  <conditionalFormatting sqref="H29:H31">
    <cfRule type="expression" dxfId="1164" priority="1">
      <formula>H29&gt;0</formula>
    </cfRule>
    <cfRule type="expression" dxfId="116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918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963</v>
      </c>
      <c r="U2" t="s">
        <v>1076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ref="K3:K4" si="1">H3*I3-J3</f>
        <v>6499.92</v>
      </c>
      <c r="L3" s="4"/>
      <c r="M3" s="4"/>
      <c r="O3" s="11" t="s">
        <v>58</v>
      </c>
      <c r="Q3" s="221">
        <f>IF(Q2=0, Q4, (F18-K18-M18)/Q2)</f>
        <v>126.87489999999998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128.47</v>
      </c>
      <c r="R4" s="495">
        <v>-4.5100000000000001E-2</v>
      </c>
      <c r="T4" s="770">
        <v>43193</v>
      </c>
      <c r="U4" s="30" t="s">
        <v>970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12847</v>
      </c>
      <c r="U5" s="475" t="s">
        <v>1001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12687.489999999998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159.51000000000204</v>
      </c>
      <c r="R7">
        <v>30</v>
      </c>
      <c r="T7" s="1">
        <v>43221</v>
      </c>
      <c r="U7" s="821" t="s">
        <v>1041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159.51000000000204</v>
      </c>
      <c r="U8" t="s">
        <v>1042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1.2572226657912799E-2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4.047637580758154E-3</v>
      </c>
      <c r="R11">
        <v>0.13</v>
      </c>
      <c r="T11" s="1">
        <v>43228</v>
      </c>
      <c r="U11" t="s">
        <v>1075</v>
      </c>
    </row>
    <row r="12" spans="1:21" x14ac:dyDescent="0.25">
      <c r="H12" s="70"/>
      <c r="O12" s="11" t="s">
        <v>946</v>
      </c>
      <c r="Q12" s="1" t="s">
        <v>1132</v>
      </c>
    </row>
    <row r="13" spans="1:21" x14ac:dyDescent="0.25">
      <c r="H13" s="70"/>
      <c r="O13" s="11" t="s">
        <v>973</v>
      </c>
      <c r="Q13">
        <f>Q4/8.62</f>
        <v>14.903712296983761</v>
      </c>
      <c r="T13" s="1">
        <v>43260</v>
      </c>
      <c r="U13" t="s">
        <v>1127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1129</v>
      </c>
    </row>
    <row r="16" spans="1:21" x14ac:dyDescent="0.25">
      <c r="H16" s="70"/>
    </row>
    <row r="17" spans="1:21" x14ac:dyDescent="0.25">
      <c r="T17" s="1">
        <v>43264</v>
      </c>
      <c r="U17" t="s">
        <v>1133</v>
      </c>
    </row>
    <row r="18" spans="1:21" ht="20.25" thickBot="1" x14ac:dyDescent="0.35">
      <c r="A18" s="31" t="s">
        <v>81</v>
      </c>
      <c r="B18" s="14"/>
      <c r="C18" s="14">
        <f>SUM(C2:C9)</f>
        <v>190</v>
      </c>
      <c r="D18" s="18"/>
      <c r="E18" s="18"/>
      <c r="F18" s="18">
        <f>SUM(F2:F9)</f>
        <v>24943.999999999996</v>
      </c>
      <c r="G18" s="14"/>
      <c r="H18" s="71">
        <f>SUM(H2:H5)</f>
        <v>90</v>
      </c>
      <c r="I18" s="18"/>
      <c r="J18" s="18"/>
      <c r="K18" s="18">
        <f>SUM(K2:K5)</f>
        <v>12250.009999999998</v>
      </c>
      <c r="L18" s="14"/>
      <c r="M18" s="18">
        <f>SUM(M2:M10)</f>
        <v>6.5</v>
      </c>
      <c r="O18" s="777" t="s">
        <v>78</v>
      </c>
      <c r="P18" s="777"/>
      <c r="U18" t="s">
        <v>1134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90</v>
      </c>
      <c r="I19" s="343"/>
      <c r="J19" s="343"/>
      <c r="K19" s="344">
        <f>SumByColor($A$19,K2:K17)</f>
        <v>12250</v>
      </c>
      <c r="L19" s="343"/>
      <c r="M19" s="344">
        <f>SumByColor($A$19,M2:M17)</f>
        <v>6</v>
      </c>
      <c r="O19" s="81">
        <v>1.1000000000000001</v>
      </c>
      <c r="P19" s="81">
        <f>O19*$Q$4</f>
        <v>141.31700000000001</v>
      </c>
    </row>
    <row r="20" spans="1:21" x14ac:dyDescent="0.25">
      <c r="O20" s="81">
        <v>1.0900000000000001</v>
      </c>
      <c r="P20" s="81">
        <f t="shared" ref="P20:P39" si="2">O20*$Q$4</f>
        <v>140.03230000000002</v>
      </c>
      <c r="T20" s="1">
        <v>43279</v>
      </c>
      <c r="U20" t="s">
        <v>1151</v>
      </c>
    </row>
    <row r="21" spans="1:21" x14ac:dyDescent="0.25">
      <c r="O21" s="81">
        <v>1.08</v>
      </c>
      <c r="P21" s="81">
        <f t="shared" si="2"/>
        <v>138.74760000000001</v>
      </c>
    </row>
    <row r="22" spans="1:21" x14ac:dyDescent="0.25">
      <c r="O22" s="81">
        <v>1.07</v>
      </c>
      <c r="P22" s="81">
        <f t="shared" si="2"/>
        <v>137.46290000000002</v>
      </c>
    </row>
    <row r="23" spans="1:21" x14ac:dyDescent="0.25">
      <c r="O23" s="81">
        <v>1.06</v>
      </c>
      <c r="P23" s="81">
        <f t="shared" si="2"/>
        <v>136.1782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1.05</v>
      </c>
      <c r="P24" s="81">
        <f t="shared" si="2"/>
        <v>134.89350000000002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3">C25*(E25-D25)</f>
        <v>-1.0000000000002274</v>
      </c>
      <c r="G25" s="39">
        <f t="shared" ref="G25" si="4">D25*C25</f>
        <v>3000</v>
      </c>
      <c r="H25" s="222">
        <f t="shared" ref="H25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133.6088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6">C26*(E26-D26)</f>
        <v>-53.599999999999</v>
      </c>
      <c r="G26" s="39">
        <f t="shared" ref="G26" si="7">D26*C26</f>
        <v>5925.5999999999995</v>
      </c>
      <c r="H26" s="222">
        <f t="shared" ref="H26" si="8">(E26-D26)/D26</f>
        <v>-9.045497502362462E-3</v>
      </c>
      <c r="I26" s="39"/>
      <c r="J26" s="39"/>
      <c r="K26" s="39"/>
      <c r="L26" s="39"/>
      <c r="O26" s="81">
        <v>1.03</v>
      </c>
      <c r="P26" s="81">
        <f t="shared" si="2"/>
        <v>132.32410000000002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9">C27*(E27-D27)</f>
        <v>136.73000000000002</v>
      </c>
      <c r="G27" s="39">
        <f t="shared" ref="G27" si="10">D27*C27</f>
        <v>2894.4700000000003</v>
      </c>
      <c r="H27" s="222">
        <f t="shared" ref="H27" si="11">(E27-D27)/D27</f>
        <v>4.7238354517407335E-2</v>
      </c>
      <c r="I27" s="39"/>
      <c r="J27" s="39"/>
      <c r="K27" s="39"/>
      <c r="L27" s="39"/>
      <c r="O27" s="81">
        <v>1.02</v>
      </c>
      <c r="P27" s="81">
        <f t="shared" si="2"/>
        <v>131.0394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2">C28*(E28-D28)</f>
        <v>-297.87000000000035</v>
      </c>
      <c r="G28" s="39">
        <f t="shared" ref="G28" si="13">D28*C28</f>
        <v>7030.87</v>
      </c>
      <c r="H28" s="222">
        <f t="shared" ref="H28" si="14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129.75470000000001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5">C29*(E29-D29)</f>
        <v>-410.86999999999989</v>
      </c>
      <c r="G29" s="39">
        <f t="shared" ref="G29" si="16">D29*C29</f>
        <v>7030.87</v>
      </c>
      <c r="H29" s="222">
        <f t="shared" ref="H29" si="17">(E29-D29)/D29</f>
        <v>-5.8438002693834458E-2</v>
      </c>
      <c r="I29" s="39"/>
      <c r="J29" s="39"/>
      <c r="K29" s="39"/>
      <c r="L29" s="39"/>
      <c r="O29" s="81">
        <v>1</v>
      </c>
      <c r="P29" s="81">
        <f t="shared" si="2"/>
        <v>128.47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8">C30*(E30-D30)</f>
        <v>-147.3700000000008</v>
      </c>
      <c r="G30" s="39">
        <f t="shared" ref="G30" si="19">D30*C30</f>
        <v>7030.87</v>
      </c>
      <c r="H30" s="222">
        <f t="shared" ref="H30" si="20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127.1853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1">C31*(E31-D31)</f>
        <v>-556.87000000000069</v>
      </c>
      <c r="G31" s="39">
        <f t="shared" ref="G31" si="22">D31*C31</f>
        <v>7030.87</v>
      </c>
      <c r="H31" s="222">
        <f t="shared" ref="H31" si="23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125.9006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24">C32*(E32-D32)</f>
        <v>-439.36999999999955</v>
      </c>
      <c r="G32" s="39">
        <f t="shared" ref="G32:G38" si="25">D32*C32</f>
        <v>7030.87</v>
      </c>
      <c r="H32" s="222">
        <f t="shared" ref="H32:H38" si="26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124.6159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4"/>
        <v>-796.99999999999989</v>
      </c>
      <c r="G33" s="39">
        <f t="shared" si="25"/>
        <v>7031</v>
      </c>
      <c r="H33" s="222">
        <f t="shared" si="26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123.3312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24"/>
        <v>-898.86999999999944</v>
      </c>
      <c r="G34" s="39">
        <f t="shared" si="25"/>
        <v>13164.869999999999</v>
      </c>
      <c r="H34" s="222">
        <f t="shared" si="26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122.04649999999999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4"/>
        <v>-1856.3699999999997</v>
      </c>
      <c r="G35" s="39">
        <f t="shared" si="25"/>
        <v>13158.369999999999</v>
      </c>
      <c r="H35" s="222">
        <f t="shared" si="26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120.76179999999999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4"/>
        <v>-974.00000000000091</v>
      </c>
      <c r="G36" s="39">
        <f t="shared" si="25"/>
        <v>13158.000000000002</v>
      </c>
      <c r="H36" s="222">
        <f t="shared" si="26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119.47710000000001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24"/>
        <v>-1173.0000000000018</v>
      </c>
      <c r="G37" s="39">
        <f t="shared" si="25"/>
        <v>13158.000000000002</v>
      </c>
      <c r="H37" s="222">
        <f t="shared" si="26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118.19240000000001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24"/>
        <v>-1591.1759999999999</v>
      </c>
      <c r="G38" s="39">
        <f t="shared" si="25"/>
        <v>15437.976000000001</v>
      </c>
      <c r="H38" s="222">
        <f t="shared" si="26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116.90770000000001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3" si="27">C39*(E39-D39)</f>
        <v>-1383.5759999999993</v>
      </c>
      <c r="G39" s="39">
        <f t="shared" ref="G39:G43" si="28">D39*C39</f>
        <v>15437.976000000001</v>
      </c>
      <c r="H39" s="222">
        <f t="shared" ref="H39:H43" si="29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115.623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27"/>
        <v>531.00000000000023</v>
      </c>
      <c r="G40" s="39">
        <f t="shared" si="28"/>
        <v>6219</v>
      </c>
      <c r="H40" s="222">
        <f t="shared" si="29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27"/>
        <v>380.93999999999949</v>
      </c>
      <c r="G41" s="39">
        <f t="shared" si="28"/>
        <v>8873.06</v>
      </c>
      <c r="H41" s="222">
        <f t="shared" si="29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27"/>
        <v>57.600000000000051</v>
      </c>
      <c r="G42" s="39">
        <f t="shared" si="28"/>
        <v>11424.6</v>
      </c>
      <c r="H42" s="222">
        <f t="shared" si="29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27"/>
        <v>-59.499999999999886</v>
      </c>
      <c r="G43" s="39">
        <f t="shared" si="28"/>
        <v>12687.5</v>
      </c>
      <c r="H43" s="222">
        <f t="shared" si="29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62" priority="31">
      <formula>F54&gt;0</formula>
    </cfRule>
    <cfRule type="expression" dxfId="1161" priority="32">
      <formula>F54&lt;0</formula>
    </cfRule>
  </conditionalFormatting>
  <conditionalFormatting sqref="Q7">
    <cfRule type="expression" dxfId="1160" priority="29">
      <formula>Q7&gt;0</formula>
    </cfRule>
    <cfRule type="expression" dxfId="1159" priority="30">
      <formula>Q7&lt;0</formula>
    </cfRule>
  </conditionalFormatting>
  <conditionalFormatting sqref="Q8">
    <cfRule type="expression" dxfId="1158" priority="27">
      <formula>Q8&gt;0</formula>
    </cfRule>
    <cfRule type="expression" dxfId="1157" priority="28">
      <formula>Q8&lt;0</formula>
    </cfRule>
  </conditionalFormatting>
  <conditionalFormatting sqref="F34:F53">
    <cfRule type="expression" dxfId="1156" priority="25">
      <formula>F34&gt;0</formula>
    </cfRule>
    <cfRule type="expression" dxfId="1155" priority="26">
      <formula>F34&lt;0</formula>
    </cfRule>
  </conditionalFormatting>
  <conditionalFormatting sqref="H34:H53">
    <cfRule type="expression" dxfId="1154" priority="23">
      <formula>H34&gt;0</formula>
    </cfRule>
    <cfRule type="expression" dxfId="1153" priority="24">
      <formula>H34&lt;0</formula>
    </cfRule>
  </conditionalFormatting>
  <conditionalFormatting sqref="Q10">
    <cfRule type="expression" dxfId="1152" priority="21">
      <formula>Q10&gt;0</formula>
    </cfRule>
    <cfRule type="expression" dxfId="1151" priority="22">
      <formula>Q10&lt;0</formula>
    </cfRule>
  </conditionalFormatting>
  <conditionalFormatting sqref="J25:J38">
    <cfRule type="expression" dxfId="1150" priority="19">
      <formula>J25&gt;0</formula>
    </cfRule>
    <cfRule type="expression" dxfId="1149" priority="20">
      <formula>J25&lt;0</formula>
    </cfRule>
  </conditionalFormatting>
  <conditionalFormatting sqref="K25:K35 K37:K38">
    <cfRule type="expression" dxfId="1148" priority="17">
      <formula>K25&gt;0</formula>
    </cfRule>
    <cfRule type="expression" dxfId="1147" priority="18">
      <formula>K25&lt;0</formula>
    </cfRule>
  </conditionalFormatting>
  <conditionalFormatting sqref="L25">
    <cfRule type="expression" dxfId="1146" priority="15">
      <formula>L25&gt;0</formula>
    </cfRule>
    <cfRule type="expression" dxfId="1145" priority="16">
      <formula>L25&lt;0</formula>
    </cfRule>
  </conditionalFormatting>
  <conditionalFormatting sqref="F89:F110">
    <cfRule type="expression" dxfId="1144" priority="13">
      <formula>F89&gt;0</formula>
    </cfRule>
    <cfRule type="expression" dxfId="1143" priority="14">
      <formula>F89&lt;0</formula>
    </cfRule>
  </conditionalFormatting>
  <conditionalFormatting sqref="H89:H110">
    <cfRule type="expression" dxfId="1142" priority="11">
      <formula>H89&gt;0</formula>
    </cfRule>
    <cfRule type="expression" dxfId="1141" priority="12">
      <formula>H89&lt;0</formula>
    </cfRule>
  </conditionalFormatting>
  <conditionalFormatting sqref="J89:J102">
    <cfRule type="expression" dxfId="1140" priority="9">
      <formula>J89&gt;0</formula>
    </cfRule>
    <cfRule type="expression" dxfId="1139" priority="10">
      <formula>J89&lt;0</formula>
    </cfRule>
  </conditionalFormatting>
  <conditionalFormatting sqref="K89:K102">
    <cfRule type="expression" dxfId="1138" priority="7">
      <formula>K89&gt;0</formula>
    </cfRule>
    <cfRule type="expression" dxfId="1137" priority="8">
      <formula>K89&lt;0</formula>
    </cfRule>
  </conditionalFormatting>
  <conditionalFormatting sqref="L89:L102">
    <cfRule type="expression" dxfId="1136" priority="5">
      <formula>L89&gt;0</formula>
    </cfRule>
    <cfRule type="expression" dxfId="1135" priority="6">
      <formula>L89&lt;0</formula>
    </cfRule>
  </conditionalFormatting>
  <conditionalFormatting sqref="F25:F33">
    <cfRule type="expression" dxfId="1134" priority="3">
      <formula>F25&gt;0</formula>
    </cfRule>
    <cfRule type="expression" dxfId="1133" priority="4">
      <formula>F25&lt;0</formula>
    </cfRule>
  </conditionalFormatting>
  <conditionalFormatting sqref="H25:H33">
    <cfRule type="expression" dxfId="1132" priority="1">
      <formula>H25&gt;0</formula>
    </cfRule>
    <cfRule type="expression" dxfId="11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ref="F3" si="2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243.55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243.55</v>
      </c>
      <c r="R4" s="495">
        <v>7.7999999999999996E-3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411.71000000000276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411.71000000000276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16.34</v>
      </c>
      <c r="S13" s="22" t="s">
        <v>978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74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267.90500000000003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3">O24*$Q$4</f>
        <v>265.46950000000004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4">C25*(E25-D25)</f>
        <v>-5.2499999999999147</v>
      </c>
      <c r="G25" s="39">
        <f t="shared" ref="G25" si="5">D25*C25</f>
        <v>3829.2</v>
      </c>
      <c r="H25" s="222">
        <f t="shared" ref="H25" si="6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3"/>
        <v>263.03400000000005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7">C26*(E26-D26)</f>
        <v>-132.74999999999949</v>
      </c>
      <c r="G26" s="39">
        <f t="shared" ref="G26" si="8">D26*C26</f>
        <v>7430.8499999999995</v>
      </c>
      <c r="H26" s="222">
        <f t="shared" ref="H26" si="9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3"/>
        <v>260.5985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10">C27*(E27-D27)</f>
        <v>44.400000000000546</v>
      </c>
      <c r="G27" s="39">
        <f t="shared" ref="G27:G28" si="11">D27*C27</f>
        <v>14477.4</v>
      </c>
      <c r="H27" s="222">
        <f t="shared" ref="H27:H28" si="12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3"/>
        <v>258.16300000000001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10"/>
        <v>42.218999999999767</v>
      </c>
      <c r="G28" s="39">
        <f t="shared" si="11"/>
        <v>10849.130999999999</v>
      </c>
      <c r="H28" s="222">
        <f t="shared" si="12"/>
        <v>3.89146374949291E-3</v>
      </c>
      <c r="I28" s="39"/>
      <c r="J28" s="39"/>
      <c r="K28" s="39"/>
      <c r="L28" s="155"/>
      <c r="O28" s="81">
        <v>1.05</v>
      </c>
      <c r="P28" s="81">
        <f t="shared" si="3"/>
        <v>255.72750000000002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3"/>
        <v>253.29200000000003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3">C30*(E30-D30)</f>
        <v>-35.320999999998577</v>
      </c>
      <c r="G30" s="39">
        <f t="shared" ref="G30" si="14">D30*C30</f>
        <v>13200.120999999999</v>
      </c>
      <c r="H30" s="222">
        <f t="shared" ref="H30" si="15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3"/>
        <v>250.85650000000001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6">C31*(E31-D31)</f>
        <v>-267.97099999999955</v>
      </c>
      <c r="G31" s="39">
        <f t="shared" ref="G31:G40" si="17">D31*C31</f>
        <v>13200.120999999999</v>
      </c>
      <c r="H31" s="222">
        <f t="shared" ref="H31:H40" si="18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3"/>
        <v>248.42100000000002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6"/>
        <v>100.09999999999962</v>
      </c>
      <c r="G32" s="39">
        <f t="shared" si="17"/>
        <v>13200</v>
      </c>
      <c r="H32" s="222">
        <f t="shared" si="18"/>
        <v>7.5833333333333048E-3</v>
      </c>
      <c r="I32" s="39"/>
      <c r="J32" s="39"/>
      <c r="K32" s="39"/>
      <c r="L32" s="155"/>
      <c r="O32" s="81">
        <v>1.01</v>
      </c>
      <c r="P32" s="81">
        <f t="shared" si="3"/>
        <v>245.9855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6"/>
        <v>140.4000000000002</v>
      </c>
      <c r="G33" s="39">
        <f t="shared" si="17"/>
        <v>10770.3</v>
      </c>
      <c r="H33" s="222">
        <f t="shared" si="18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3"/>
        <v>243.55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6"/>
        <v>7.0199999999994134</v>
      </c>
      <c r="G34" s="39">
        <f t="shared" si="17"/>
        <v>14362.980000000001</v>
      </c>
      <c r="H34" s="222">
        <f t="shared" si="18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3"/>
        <v>241.11450000000002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6"/>
        <v>73.799999999999386</v>
      </c>
      <c r="G35" s="39">
        <f t="shared" si="17"/>
        <v>10714.05</v>
      </c>
      <c r="H35" s="222">
        <f t="shared" si="18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3"/>
        <v>238.679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6"/>
        <v>343.14899999999994</v>
      </c>
      <c r="G36" s="39">
        <f t="shared" si="17"/>
        <v>7025.451</v>
      </c>
      <c r="H36" s="222">
        <f t="shared" si="18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3"/>
        <v>236.24350000000001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6"/>
        <v>429.00000000000034</v>
      </c>
      <c r="G37" s="39">
        <f t="shared" si="17"/>
        <v>7005</v>
      </c>
      <c r="H37" s="222">
        <f t="shared" si="18"/>
        <v>6.1241970021413322E-2</v>
      </c>
      <c r="I37" s="39"/>
      <c r="J37" s="39"/>
      <c r="K37" s="39"/>
      <c r="L37" s="39"/>
      <c r="O37" s="81">
        <v>0.96</v>
      </c>
      <c r="P37" s="81">
        <f t="shared" si="3"/>
        <v>233.80799999999999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6"/>
        <v>215.77999999999975</v>
      </c>
      <c r="G38" s="39">
        <f t="shared" si="17"/>
        <v>9387.82</v>
      </c>
      <c r="H38" s="222">
        <f t="shared" si="18"/>
        <v>2.2985101972555901E-2</v>
      </c>
      <c r="I38" s="39"/>
      <c r="J38" s="39"/>
      <c r="K38" s="39"/>
      <c r="L38" s="39"/>
      <c r="O38" s="81">
        <v>0.95</v>
      </c>
      <c r="P38" s="81">
        <f t="shared" si="3"/>
        <v>231.3725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6"/>
        <v>514.71900000000062</v>
      </c>
      <c r="G39" s="39">
        <f t="shared" si="17"/>
        <v>6909.0809999999992</v>
      </c>
      <c r="H39" s="222">
        <f t="shared" si="18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3"/>
        <v>228.93700000000001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6"/>
        <v>717.50099999999975</v>
      </c>
      <c r="G40" s="39">
        <f t="shared" si="17"/>
        <v>6884.1989999999996</v>
      </c>
      <c r="H40" s="222">
        <f t="shared" si="18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3"/>
        <v>226.50150000000002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3"/>
        <v>224.06600000000003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3"/>
        <v>221.63050000000001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3"/>
        <v>219.19500000000002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0" priority="31">
      <formula>F47&gt;0</formula>
    </cfRule>
    <cfRule type="expression" dxfId="1129" priority="32">
      <formula>F47&lt;0</formula>
    </cfRule>
  </conditionalFormatting>
  <conditionalFormatting sqref="Q7">
    <cfRule type="expression" dxfId="1128" priority="29">
      <formula>Q7&gt;0</formula>
    </cfRule>
    <cfRule type="expression" dxfId="1127" priority="30">
      <formula>Q7&lt;0</formula>
    </cfRule>
  </conditionalFormatting>
  <conditionalFormatting sqref="Q8">
    <cfRule type="expression" dxfId="1126" priority="27">
      <formula>Q8&gt;0</formula>
    </cfRule>
    <cfRule type="expression" dxfId="1125" priority="28">
      <formula>Q8&lt;0</formula>
    </cfRule>
  </conditionalFormatting>
  <conditionalFormatting sqref="F32:F46">
    <cfRule type="expression" dxfId="1124" priority="25">
      <formula>F32&gt;0</formula>
    </cfRule>
    <cfRule type="expression" dxfId="1123" priority="26">
      <formula>F32&lt;0</formula>
    </cfRule>
  </conditionalFormatting>
  <conditionalFormatting sqref="H32:H46">
    <cfRule type="expression" dxfId="1122" priority="23">
      <formula>H32&gt;0</formula>
    </cfRule>
    <cfRule type="expression" dxfId="1121" priority="24">
      <formula>H32&lt;0</formula>
    </cfRule>
  </conditionalFormatting>
  <conditionalFormatting sqref="Q10">
    <cfRule type="expression" dxfId="1120" priority="21">
      <formula>Q10&gt;0</formula>
    </cfRule>
    <cfRule type="expression" dxfId="1119" priority="22">
      <formula>Q10&lt;0</formula>
    </cfRule>
  </conditionalFormatting>
  <conditionalFormatting sqref="J25:J38">
    <cfRule type="expression" dxfId="1118" priority="19">
      <formula>J25&gt;0</formula>
    </cfRule>
    <cfRule type="expression" dxfId="1117" priority="20">
      <formula>J25&lt;0</formula>
    </cfRule>
  </conditionalFormatting>
  <conditionalFormatting sqref="K25:K38">
    <cfRule type="expression" dxfId="1116" priority="17">
      <formula>K25&gt;0</formula>
    </cfRule>
    <cfRule type="expression" dxfId="1115" priority="18">
      <formula>K25&lt;0</formula>
    </cfRule>
  </conditionalFormatting>
  <conditionalFormatting sqref="L25:L38">
    <cfRule type="expression" dxfId="1114" priority="15">
      <formula>L25&gt;0</formula>
    </cfRule>
    <cfRule type="expression" dxfId="1113" priority="16">
      <formula>L25&lt;0</formula>
    </cfRule>
  </conditionalFormatting>
  <conditionalFormatting sqref="F89:F110">
    <cfRule type="expression" dxfId="1112" priority="13">
      <formula>F89&gt;0</formula>
    </cfRule>
    <cfRule type="expression" dxfId="1111" priority="14">
      <formula>F89&lt;0</formula>
    </cfRule>
  </conditionalFormatting>
  <conditionalFormatting sqref="H89:H110">
    <cfRule type="expression" dxfId="1110" priority="11">
      <formula>H89&gt;0</formula>
    </cfRule>
    <cfRule type="expression" dxfId="1109" priority="12">
      <formula>H89&lt;0</formula>
    </cfRule>
  </conditionalFormatting>
  <conditionalFormatting sqref="J89:J102">
    <cfRule type="expression" dxfId="1108" priority="9">
      <formula>J89&gt;0</formula>
    </cfRule>
    <cfRule type="expression" dxfId="1107" priority="10">
      <formula>J89&lt;0</formula>
    </cfRule>
  </conditionalFormatting>
  <conditionalFormatting sqref="K89:K102">
    <cfRule type="expression" dxfId="1106" priority="7">
      <formula>K89&gt;0</formula>
    </cfRule>
    <cfRule type="expression" dxfId="1105" priority="8">
      <formula>K89&lt;0</formula>
    </cfRule>
  </conditionalFormatting>
  <conditionalFormatting sqref="L89:L102">
    <cfRule type="expression" dxfId="1104" priority="5">
      <formula>L89&gt;0</formula>
    </cfRule>
    <cfRule type="expression" dxfId="1103" priority="6">
      <formula>L89&lt;0</formula>
    </cfRule>
  </conditionalFormatting>
  <conditionalFormatting sqref="F25:F31">
    <cfRule type="expression" dxfId="1102" priority="3">
      <formula>F25&gt;0</formula>
    </cfRule>
    <cfRule type="expression" dxfId="1101" priority="4">
      <formula>F25&lt;0</formula>
    </cfRule>
  </conditionalFormatting>
  <conditionalFormatting sqref="H25:H31">
    <cfRule type="expression" dxfId="1100" priority="1">
      <formula>H25&gt;0</formula>
    </cfRule>
    <cfRule type="expression" dxfId="109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817</v>
      </c>
    </row>
    <row r="3" spans="1:21" x14ac:dyDescent="0.25">
      <c r="A3" s="22" t="s">
        <v>71</v>
      </c>
      <c r="B3" s="72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72">
        <v>43281</v>
      </c>
      <c r="M3" s="43">
        <v>14.4</v>
      </c>
      <c r="O3" s="11" t="s">
        <v>58</v>
      </c>
      <c r="Q3" s="221">
        <f>IF(Q2=0, Q4, (F18-K18-M18)/Q2)</f>
        <v>65.593999999999994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73.099999999999994</v>
      </c>
      <c r="R4" s="495">
        <v>1.5E-3</v>
      </c>
      <c r="T4" s="770">
        <v>43103</v>
      </c>
      <c r="U4" s="30" t="s">
        <v>840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3935.6399999999994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450.36000000000013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450.36000000000013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0.11443119797542463</v>
      </c>
      <c r="T9" s="770">
        <v>43249</v>
      </c>
      <c r="U9" t="s">
        <v>1117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Q4/3.55</f>
        <v>20.591549295774648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1.0900000000000001</v>
      </c>
      <c r="P24" s="81">
        <f t="shared" ref="P24:P43" si="1">O24*$Q$4</f>
        <v>79.679000000000002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78.947999999999993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78.216999999999999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77.486000000000004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2" si="11">C28*(E28-D28)</f>
        <v>168.39999999999975</v>
      </c>
      <c r="G28" s="39">
        <f t="shared" ref="G28:G32" si="12">D28*C28</f>
        <v>2693.6000000000004</v>
      </c>
      <c r="H28" s="222">
        <f t="shared" ref="H28:H32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76.754999999999995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76.024000000000001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75.292999999999992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74.561999999999998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1"/>
        <v>477.36000000000018</v>
      </c>
      <c r="G32" s="39">
        <f t="shared" si="12"/>
        <v>3935.6399999999994</v>
      </c>
      <c r="H32" s="222">
        <f t="shared" si="13"/>
        <v>0.12129158154709278</v>
      </c>
      <c r="I32" s="39"/>
      <c r="J32" s="39"/>
      <c r="K32" s="39"/>
      <c r="L32" s="155"/>
      <c r="O32" s="81">
        <v>1.01</v>
      </c>
      <c r="P32" s="81">
        <f t="shared" si="1"/>
        <v>73.830999999999989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73.099999999999994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72.369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71.637999999999991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70.906999999999996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70.175999999999988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69.444999999999993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68.713999999999984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67.983000000000004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67.251999999999995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66.521000000000001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65.789999999999992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1">
      <formula>F47&gt;0</formula>
    </cfRule>
    <cfRule type="expression" dxfId="1097" priority="32">
      <formula>F47&lt;0</formula>
    </cfRule>
  </conditionalFormatting>
  <conditionalFormatting sqref="Q7">
    <cfRule type="expression" dxfId="1096" priority="29">
      <formula>Q7&gt;0</formula>
    </cfRule>
    <cfRule type="expression" dxfId="1095" priority="30">
      <formula>Q7&lt;0</formula>
    </cfRule>
  </conditionalFormatting>
  <conditionalFormatting sqref="Q8">
    <cfRule type="expression" dxfId="1094" priority="27">
      <formula>Q8&gt;0</formula>
    </cfRule>
    <cfRule type="expression" dxfId="1093" priority="28">
      <formula>Q8&lt;0</formula>
    </cfRule>
  </conditionalFormatting>
  <conditionalFormatting sqref="F30:F46">
    <cfRule type="expression" dxfId="1092" priority="25">
      <formula>F30&gt;0</formula>
    </cfRule>
    <cfRule type="expression" dxfId="1091" priority="26">
      <formula>F30&lt;0</formula>
    </cfRule>
  </conditionalFormatting>
  <conditionalFormatting sqref="H30:H46">
    <cfRule type="expression" dxfId="1090" priority="23">
      <formula>H30&gt;0</formula>
    </cfRule>
    <cfRule type="expression" dxfId="1089" priority="24">
      <formula>H30&lt;0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9">
    <cfRule type="expression" dxfId="1070" priority="3">
      <formula>F25&gt;0</formula>
    </cfRule>
    <cfRule type="expression" dxfId="1069" priority="4">
      <formula>F25&lt;0</formula>
    </cfRule>
  </conditionalFormatting>
  <conditionalFormatting sqref="H25:H29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76.55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76.55</v>
      </c>
      <c r="R4" s="475">
        <v>3.5000000000000001E-3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207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497</v>
      </c>
      <c r="J22" s="220" t="s">
        <v>150</v>
      </c>
      <c r="K22" s="220" t="s">
        <v>669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271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84.204999999999998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83.43950000000001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82.674000000000007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81.908500000000004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81.143000000000001</v>
      </c>
      <c r="T49" s="91" t="s">
        <v>121</v>
      </c>
      <c r="U49" s="127" t="s">
        <v>522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80.377499999999998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79.611999999999995</v>
      </c>
      <c r="T51" s="91" t="s">
        <v>104</v>
      </c>
      <c r="U51" s="127" t="s">
        <v>597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78.846500000000006</v>
      </c>
      <c r="T52" s="91" t="s">
        <v>105</v>
      </c>
      <c r="U52" s="127" t="s">
        <v>598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78.081000000000003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77.3155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76.55</v>
      </c>
      <c r="T55" s="91" t="s">
        <v>107</v>
      </c>
      <c r="U55" s="127" t="s">
        <v>599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75.784499999999994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75.018999999999991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74.253499999999988</v>
      </c>
      <c r="T58" s="91" t="s">
        <v>108</v>
      </c>
      <c r="U58" s="127" t="s">
        <v>539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73.488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72.722499999999997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71.956999999999994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71.191500000000005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70.426000000000002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69.660499999999999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68.894999999999996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66" priority="57">
      <formula>F27&gt;0</formula>
    </cfRule>
    <cfRule type="expression" dxfId="1065" priority="58">
      <formula>F27&lt;0</formula>
    </cfRule>
  </conditionalFormatting>
  <conditionalFormatting sqref="H28:H33">
    <cfRule type="expression" dxfId="1064" priority="53">
      <formula>H28&gt;0</formula>
    </cfRule>
    <cfRule type="expression" dxfId="1063" priority="54">
      <formula>H28&lt;0</formula>
    </cfRule>
  </conditionalFormatting>
  <conditionalFormatting sqref="F24:F26">
    <cfRule type="expression" dxfId="1062" priority="39">
      <formula>F24&gt;0</formula>
    </cfRule>
    <cfRule type="expression" dxfId="1061" priority="40">
      <formula>F24&lt;0</formula>
    </cfRule>
  </conditionalFormatting>
  <conditionalFormatting sqref="Q8">
    <cfRule type="expression" dxfId="1060" priority="33">
      <formula>Q8&gt;0</formula>
    </cfRule>
    <cfRule type="expression" dxfId="1059" priority="34">
      <formula>Q8&lt;0</formula>
    </cfRule>
  </conditionalFormatting>
  <conditionalFormatting sqref="Q7">
    <cfRule type="expression" dxfId="1058" priority="35">
      <formula>Q7&gt;0</formula>
    </cfRule>
    <cfRule type="expression" dxfId="1057" priority="36">
      <formula>Q7&lt;0</formula>
    </cfRule>
  </conditionalFormatting>
  <conditionalFormatting sqref="F34">
    <cfRule type="expression" dxfId="1056" priority="31">
      <formula>F34&gt;0</formula>
    </cfRule>
    <cfRule type="expression" dxfId="1055" priority="32">
      <formula>F34&lt;0</formula>
    </cfRule>
  </conditionalFormatting>
  <conditionalFormatting sqref="H34">
    <cfRule type="expression" dxfId="1054" priority="29">
      <formula>H34&gt;0</formula>
    </cfRule>
    <cfRule type="expression" dxfId="1053" priority="30">
      <formula>H34&lt;0</formula>
    </cfRule>
  </conditionalFormatting>
  <conditionalFormatting sqref="M36">
    <cfRule type="expression" dxfId="1052" priority="19">
      <formula>M36&gt;0</formula>
    </cfRule>
    <cfRule type="expression" dxfId="1051" priority="20">
      <formula>M36&lt;0</formula>
    </cfRule>
  </conditionalFormatting>
  <conditionalFormatting sqref="Q10">
    <cfRule type="expression" dxfId="1050" priority="15">
      <formula>Q10&gt;0</formula>
    </cfRule>
    <cfRule type="expression" dxfId="1049" priority="16">
      <formula>Q10&lt;0</formula>
    </cfRule>
  </conditionalFormatting>
  <conditionalFormatting sqref="F23">
    <cfRule type="expression" dxfId="1048" priority="13">
      <formula>F23&gt;0</formula>
    </cfRule>
    <cfRule type="expression" dxfId="1047" priority="14">
      <formula>F23&lt;0</formula>
    </cfRule>
  </conditionalFormatting>
  <conditionalFormatting sqref="I25:J25">
    <cfRule type="expression" dxfId="1046" priority="9">
      <formula>I25&gt;0</formula>
    </cfRule>
    <cfRule type="expression" dxfId="1045" priority="10">
      <formula>I25&lt;0</formula>
    </cfRule>
  </conditionalFormatting>
  <conditionalFormatting sqref="I26:J27">
    <cfRule type="expression" dxfId="1044" priority="7">
      <formula>I26&gt;0</formula>
    </cfRule>
    <cfRule type="expression" dxfId="1043" priority="8">
      <formula>I26&lt;0</formula>
    </cfRule>
  </conditionalFormatting>
  <conditionalFormatting sqref="K25:K27">
    <cfRule type="expression" dxfId="1042" priority="5">
      <formula>K25&gt;0</formula>
    </cfRule>
    <cfRule type="expression" dxfId="1041" priority="6">
      <formula>K25&lt;0</formula>
    </cfRule>
  </conditionalFormatting>
  <conditionalFormatting sqref="I23:J23">
    <cfRule type="expression" dxfId="1040" priority="3">
      <formula>I23&gt;0</formula>
    </cfRule>
    <cfRule type="expression" dxfId="103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C33" sqref="C3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  <c r="BE1" s="707"/>
      <c r="BF1" s="731" t="s">
        <v>757</v>
      </c>
      <c r="BG1" s="731" t="s">
        <v>713</v>
      </c>
      <c r="BH1" s="731" t="s">
        <v>933</v>
      </c>
      <c r="BI1" s="731" t="s">
        <v>932</v>
      </c>
      <c r="BJ1" s="731" t="s">
        <v>1066</v>
      </c>
      <c r="BK1" s="707"/>
      <c r="BL1" s="707"/>
    </row>
    <row r="2" spans="1:64" x14ac:dyDescent="0.25">
      <c r="A2" s="6" t="s">
        <v>225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529</v>
      </c>
      <c r="AJ2">
        <f>$Q$2*$Q$4</f>
        <v>8436</v>
      </c>
      <c r="AK2">
        <f ca="1">AJ2*EXP(-$X$2 * AI2/365.25)</f>
        <v>6291.6467548629098</v>
      </c>
      <c r="AM2" s="2">
        <f>Q10</f>
        <v>1452.2599999999984</v>
      </c>
      <c r="AO2">
        <f ca="1" xml:space="preserve"> (SUM(AB:AB) - SUM(AE:AE) - SUM(AH:AH) - SUM(AK:AK))/SUM(AB:AB)</f>
        <v>-6.2813355297220591E-4</v>
      </c>
      <c r="BE2" s="708" t="s">
        <v>758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731</v>
      </c>
      <c r="V3" s="22" t="s">
        <v>730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28.12</v>
      </c>
      <c r="R4" s="494">
        <v>6.4999999999999997E-3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725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8436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718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711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5464.9100000000362</v>
      </c>
      <c r="R7">
        <v>100</v>
      </c>
      <c r="V7" t="s">
        <v>975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747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4012.6500000000378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719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208</v>
      </c>
      <c r="Q9" s="134">
        <f>IF(Q2=0, 0, Q8/Q6)</f>
        <v>0.90715181932247557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720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207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737</v>
      </c>
      <c r="BF10" s="714">
        <v>2.6</v>
      </c>
      <c r="BG10" s="728">
        <v>2.1</v>
      </c>
      <c r="BH10" s="728">
        <v>2.5</v>
      </c>
      <c r="BI10" s="828">
        <v>1.9</v>
      </c>
      <c r="BJ10" s="828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3.5561877667140826E-3</v>
      </c>
      <c r="R11">
        <f>0.025</f>
        <v>2.5000000000000001E-2</v>
      </c>
      <c r="V11" t="s">
        <v>1065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946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714</v>
      </c>
      <c r="BF12" s="714"/>
      <c r="BG12" s="719">
        <v>7.0000000000000007E-2</v>
      </c>
      <c r="BH12" s="719" t="s">
        <v>759</v>
      </c>
      <c r="BI12" s="732" t="s">
        <v>936</v>
      </c>
      <c r="BJ12" s="831" t="s">
        <v>937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973</v>
      </c>
      <c r="Q13" s="2">
        <f>Q4/(1.4)</f>
        <v>20.085714285714289</v>
      </c>
      <c r="U13" s="1">
        <v>43234</v>
      </c>
      <c r="V13" t="s">
        <v>1112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721</v>
      </c>
      <c r="BF13" s="714"/>
      <c r="BG13" s="719">
        <v>0.09</v>
      </c>
      <c r="BH13" s="719"/>
      <c r="BI13" s="732" t="s">
        <v>937</v>
      </c>
      <c r="BJ13" s="831" t="s">
        <v>1067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1111</v>
      </c>
      <c r="Q14" s="736">
        <v>0.20250000000000001</v>
      </c>
      <c r="V14" t="s">
        <v>1113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745</v>
      </c>
      <c r="BF14" s="720">
        <v>0.08</v>
      </c>
      <c r="BG14" s="830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715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782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716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30.932000000000002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931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30.650800000000004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782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30.369600000000002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726</v>
      </c>
      <c r="BF19" s="717" t="s">
        <v>729</v>
      </c>
      <c r="BG19" s="712" t="s">
        <v>729</v>
      </c>
      <c r="BH19" s="712" t="s">
        <v>729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30.088400000000004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727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29.807200000000002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747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29.526000000000003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744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29.244800000000001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28.963600000000003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710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28.682400000000001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722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28.401200000000003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723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28.12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711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27.838799999999999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747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27.557600000000001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719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27.276399999999999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720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26.995200000000001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712</v>
      </c>
      <c r="BF31" s="714">
        <v>2.2000000000000002</v>
      </c>
      <c r="BG31" s="728">
        <v>2.2000000000000002</v>
      </c>
      <c r="BH31" s="728">
        <v>2.2000000000000002</v>
      </c>
      <c r="BI31" s="828">
        <v>1.7</v>
      </c>
      <c r="BJ31" s="828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26.713999999999999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26.4328</v>
      </c>
      <c r="BE33" s="712" t="s">
        <v>714</v>
      </c>
      <c r="BF33" s="714"/>
      <c r="BG33" s="719">
        <v>0.15</v>
      </c>
      <c r="BH33" s="732" t="s">
        <v>760</v>
      </c>
      <c r="BI33" s="732" t="s">
        <v>934</v>
      </c>
      <c r="BJ33" s="732" t="s">
        <v>934</v>
      </c>
      <c r="BK33" s="676"/>
      <c r="BL33" s="676"/>
    </row>
    <row r="34" spans="1:64" x14ac:dyDescent="0.25">
      <c r="O34" s="81">
        <v>0.93</v>
      </c>
      <c r="P34" s="81">
        <f t="shared" si="14"/>
        <v>26.151600000000002</v>
      </c>
      <c r="BE34" s="712" t="s">
        <v>721</v>
      </c>
      <c r="BF34" s="714"/>
      <c r="BG34" s="719">
        <v>0.18</v>
      </c>
      <c r="BH34" s="719"/>
      <c r="BI34" s="732" t="s">
        <v>935</v>
      </c>
      <c r="BJ34" s="732" t="s">
        <v>935</v>
      </c>
      <c r="BK34" s="676"/>
      <c r="BL34" s="676"/>
    </row>
    <row r="35" spans="1:64" x14ac:dyDescent="0.25">
      <c r="O35" s="81">
        <v>0.92</v>
      </c>
      <c r="P35" s="81">
        <f t="shared" si="14"/>
        <v>25.870400000000004</v>
      </c>
      <c r="BE35" s="712" t="s">
        <v>745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497</v>
      </c>
      <c r="K36" s="488" t="s">
        <v>150</v>
      </c>
      <c r="L36" s="488" t="s">
        <v>973</v>
      </c>
      <c r="O36" s="81">
        <v>0.91</v>
      </c>
      <c r="P36" s="81">
        <f t="shared" si="14"/>
        <v>25.589200000000002</v>
      </c>
      <c r="BE36" s="712" t="s">
        <v>715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25.308</v>
      </c>
      <c r="BE37" s="712" t="s">
        <v>716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746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348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726</v>
      </c>
      <c r="BF39" s="717" t="s">
        <v>738</v>
      </c>
      <c r="BG39" s="712" t="s">
        <v>729</v>
      </c>
      <c r="BH39" s="712" t="s">
        <v>761</v>
      </c>
      <c r="BI39" s="712"/>
      <c r="BJ39" s="712"/>
      <c r="BK39" s="676"/>
      <c r="BL39" s="676"/>
    </row>
    <row r="40" spans="1:64" x14ac:dyDescent="0.25">
      <c r="A40" t="s">
        <v>348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727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338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744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1068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719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720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712</v>
      </c>
      <c r="BF47" s="714">
        <v>1.6</v>
      </c>
      <c r="BG47" s="728">
        <v>2.5</v>
      </c>
      <c r="BH47" s="728">
        <v>1.9</v>
      </c>
      <c r="BI47" s="829">
        <v>1.6</v>
      </c>
      <c r="BJ47" s="829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717</v>
      </c>
      <c r="BF49" s="714">
        <v>20</v>
      </c>
      <c r="BG49" s="712" t="s">
        <v>752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724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748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746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749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750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751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744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742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740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739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938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741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829</v>
      </c>
      <c r="J68" s="39"/>
      <c r="K68" s="39">
        <v>2972</v>
      </c>
      <c r="L68" s="39"/>
      <c r="BE68" s="713" t="s">
        <v>743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1069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939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1072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1137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225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335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335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335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335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335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38" priority="72">
      <formula>F85&gt;0</formula>
    </cfRule>
    <cfRule type="expression" dxfId="1037" priority="73">
      <formula>F85&lt;0</formula>
    </cfRule>
  </conditionalFormatting>
  <conditionalFormatting sqref="Q7">
    <cfRule type="expression" dxfId="1036" priority="60">
      <formula>Q7&gt;0</formula>
    </cfRule>
    <cfRule type="expression" dxfId="1035" priority="61">
      <formula>Q7&lt;0</formula>
    </cfRule>
  </conditionalFormatting>
  <conditionalFormatting sqref="Q8">
    <cfRule type="expression" dxfId="1034" priority="58">
      <formula>Q8&gt;0</formula>
    </cfRule>
    <cfRule type="expression" dxfId="1033" priority="59">
      <formula>Q8&lt;0</formula>
    </cfRule>
  </conditionalFormatting>
  <conditionalFormatting sqref="F110:F122">
    <cfRule type="expression" dxfId="1032" priority="56">
      <formula>F110&gt;0</formula>
    </cfRule>
    <cfRule type="expression" dxfId="1031" priority="57">
      <formula>F110&lt;0</formula>
    </cfRule>
  </conditionalFormatting>
  <conditionalFormatting sqref="H110:H122">
    <cfRule type="expression" dxfId="1030" priority="54">
      <formula>H110&gt;0</formula>
    </cfRule>
    <cfRule type="expression" dxfId="1029" priority="55">
      <formula>H110&lt;0</formula>
    </cfRule>
  </conditionalFormatting>
  <conditionalFormatting sqref="H126:H129">
    <cfRule type="expression" dxfId="1028" priority="50">
      <formula>H126&gt;0</formula>
    </cfRule>
    <cfRule type="expression" dxfId="1027" priority="51">
      <formula>H126&lt;0</formula>
    </cfRule>
  </conditionalFormatting>
  <conditionalFormatting sqref="F126:F129">
    <cfRule type="expression" dxfId="1026" priority="52">
      <formula>F126&gt;0</formula>
    </cfRule>
    <cfRule type="expression" dxfId="1025" priority="53">
      <formula>F126&lt;0</formula>
    </cfRule>
  </conditionalFormatting>
  <conditionalFormatting sqref="M152">
    <cfRule type="expression" dxfId="1024" priority="48">
      <formula>M152&gt;0</formula>
    </cfRule>
    <cfRule type="expression" dxfId="1023" priority="49">
      <formula>M152&lt;0</formula>
    </cfRule>
  </conditionalFormatting>
  <conditionalFormatting sqref="F37:F38 F45:F82">
    <cfRule type="expression" dxfId="1022" priority="46">
      <formula>F37&gt;0</formula>
    </cfRule>
    <cfRule type="expression" dxfId="1021" priority="47">
      <formula>F37&lt;0</formula>
    </cfRule>
  </conditionalFormatting>
  <conditionalFormatting sqref="H37:H38 H45:H82">
    <cfRule type="expression" dxfId="1020" priority="44">
      <formula>H37&gt;0</formula>
    </cfRule>
    <cfRule type="expression" dxfId="1019" priority="45">
      <formula>H37&lt;0</formula>
    </cfRule>
  </conditionalFormatting>
  <conditionalFormatting sqref="Q10">
    <cfRule type="expression" dxfId="1018" priority="42">
      <formula>Q10&gt;0</formula>
    </cfRule>
    <cfRule type="expression" dxfId="1017" priority="43">
      <formula>Q10&lt;0</formula>
    </cfRule>
  </conditionalFormatting>
  <conditionalFormatting sqref="F39:F44">
    <cfRule type="expression" dxfId="1016" priority="40">
      <formula>F39&gt;0</formula>
    </cfRule>
    <cfRule type="expression" dxfId="1015" priority="41">
      <formula>F39&lt;0</formula>
    </cfRule>
  </conditionalFormatting>
  <conditionalFormatting sqref="H39:H44">
    <cfRule type="expression" dxfId="1014" priority="38">
      <formula>H39&gt;0</formula>
    </cfRule>
    <cfRule type="expression" dxfId="1013" priority="39">
      <formula>H39&lt;0</formula>
    </cfRule>
  </conditionalFormatting>
  <conditionalFormatting sqref="K42:K49">
    <cfRule type="expression" dxfId="1012" priority="36">
      <formula>K42&gt;0</formula>
    </cfRule>
    <cfRule type="expression" dxfId="1011" priority="37">
      <formula>K42&lt;0</formula>
    </cfRule>
  </conditionalFormatting>
  <conditionalFormatting sqref="K50:K82">
    <cfRule type="expression" dxfId="1010" priority="34">
      <formula>K50&gt;0</formula>
    </cfRule>
    <cfRule type="expression" dxfId="1009" priority="35">
      <formula>K50&lt;0</formula>
    </cfRule>
  </conditionalFormatting>
  <conditionalFormatting sqref="F83:F84">
    <cfRule type="expression" dxfId="1008" priority="31">
      <formula>F83&gt;0</formula>
    </cfRule>
    <cfRule type="expression" dxfId="1007" priority="32">
      <formula>F83&lt;0</formula>
    </cfRule>
  </conditionalFormatting>
  <conditionalFormatting sqref="H83:H84">
    <cfRule type="expression" dxfId="1006" priority="29">
      <formula>H83&gt;0</formula>
    </cfRule>
    <cfRule type="expression" dxfId="1005" priority="30">
      <formula>H83&lt;0</formula>
    </cfRule>
  </conditionalFormatting>
  <conditionalFormatting sqref="K83:K84">
    <cfRule type="expression" dxfId="1004" priority="27">
      <formula>K83&gt;0</formula>
    </cfRule>
    <cfRule type="expression" dxfId="1003" priority="28">
      <formula>K83&lt;0</formula>
    </cfRule>
  </conditionalFormatting>
  <conditionalFormatting sqref="F93:F95 H93:H95 K93:K95">
    <cfRule type="expression" dxfId="1002" priority="23">
      <formula>F93&gt;0</formula>
    </cfRule>
    <cfRule type="expression" dxfId="1001" priority="24">
      <formula>F93&lt;0</formula>
    </cfRule>
  </conditionalFormatting>
  <conditionalFormatting sqref="L85:L91 L105:L107">
    <cfRule type="expression" dxfId="1000" priority="21">
      <formula>L85&gt;0</formula>
    </cfRule>
    <cfRule type="expression" dxfId="999" priority="22">
      <formula>L85&lt;0</formula>
    </cfRule>
  </conditionalFormatting>
  <conditionalFormatting sqref="L42:L49">
    <cfRule type="expression" dxfId="998" priority="19">
      <formula>L42&gt;0</formula>
    </cfRule>
    <cfRule type="expression" dxfId="997" priority="20">
      <formula>L42&lt;0</formula>
    </cfRule>
  </conditionalFormatting>
  <conditionalFormatting sqref="L50:L82">
    <cfRule type="expression" dxfId="996" priority="17">
      <formula>L50&gt;0</formula>
    </cfRule>
    <cfRule type="expression" dxfId="995" priority="18">
      <formula>L50&lt;0</formula>
    </cfRule>
  </conditionalFormatting>
  <conditionalFormatting sqref="L83:L84">
    <cfRule type="expression" dxfId="994" priority="15">
      <formula>L83&gt;0</formula>
    </cfRule>
    <cfRule type="expression" dxfId="993" priority="16">
      <formula>L83&lt;0</formula>
    </cfRule>
  </conditionalFormatting>
  <conditionalFormatting sqref="L93:L95">
    <cfRule type="expression" dxfId="992" priority="13">
      <formula>L93&gt;0</formula>
    </cfRule>
    <cfRule type="expression" dxfId="991" priority="14">
      <formula>L93&lt;0</formula>
    </cfRule>
  </conditionalFormatting>
  <conditionalFormatting sqref="K102:K104 F102:F104 H102:H104">
    <cfRule type="expression" dxfId="990" priority="11">
      <formula>F102&gt;0</formula>
    </cfRule>
    <cfRule type="expression" dxfId="989" priority="12">
      <formula>F102&lt;0</formula>
    </cfRule>
  </conditionalFormatting>
  <conditionalFormatting sqref="L102:L104">
    <cfRule type="expression" dxfId="988" priority="9">
      <formula>L102&gt;0</formula>
    </cfRule>
    <cfRule type="expression" dxfId="987" priority="10">
      <formula>L102&lt;0</formula>
    </cfRule>
  </conditionalFormatting>
  <conditionalFormatting sqref="K99:K101 F99:F101 H99:H101">
    <cfRule type="expression" dxfId="986" priority="7">
      <formula>F99&gt;0</formula>
    </cfRule>
    <cfRule type="expression" dxfId="985" priority="8">
      <formula>F99&lt;0</formula>
    </cfRule>
  </conditionalFormatting>
  <conditionalFormatting sqref="L99:L101">
    <cfRule type="expression" dxfId="984" priority="5">
      <formula>L99&gt;0</formula>
    </cfRule>
    <cfRule type="expression" dxfId="983" priority="6">
      <formula>L99&lt;0</formula>
    </cfRule>
  </conditionalFormatting>
  <conditionalFormatting sqref="K96:K98 F96:F98 H96:H98">
    <cfRule type="expression" dxfId="982" priority="3">
      <formula>F96&gt;0</formula>
    </cfRule>
    <cfRule type="expression" dxfId="981" priority="4">
      <formula>F96&lt;0</formula>
    </cfRule>
  </conditionalFormatting>
  <conditionalFormatting sqref="L97:L98">
    <cfRule type="expression" dxfId="980" priority="1">
      <formula>L97&gt;0</formula>
    </cfRule>
    <cfRule type="expression" dxfId="97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56.69</v>
      </c>
      <c r="R4" s="475">
        <v>1.34E-2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207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62.359000000000002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61.792100000000005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61.225200000000001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60.658300000000004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60.0914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59.524500000000003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58.957599999999999</v>
      </c>
      <c r="Q47" s="2"/>
      <c r="T47" s="91" t="s">
        <v>315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58.390700000000002</v>
      </c>
      <c r="Q48" s="2"/>
      <c r="T48" s="91" t="s">
        <v>316</v>
      </c>
      <c r="U48" s="86" t="s">
        <v>498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57.823799999999999</v>
      </c>
      <c r="Q49" s="2"/>
      <c r="T49" s="91" t="s">
        <v>317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57.256900000000002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56.69</v>
      </c>
      <c r="Q51" s="2"/>
      <c r="T51" s="91" t="s">
        <v>104</v>
      </c>
      <c r="U51" s="86" t="s">
        <v>600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56.123099999999994</v>
      </c>
      <c r="Q52" s="2"/>
      <c r="T52" s="91" t="s">
        <v>105</v>
      </c>
      <c r="U52" s="86" t="s">
        <v>512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55.556199999999997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54.989299999999993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223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234</v>
      </c>
      <c r="M55" s="250"/>
      <c r="O55" s="81">
        <v>0.96</v>
      </c>
      <c r="P55" s="81">
        <f t="shared" si="5"/>
        <v>54.422399999999996</v>
      </c>
      <c r="T55" s="91" t="s">
        <v>318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53.855499999999992</v>
      </c>
      <c r="T56" s="91" t="s">
        <v>319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53.288599999999995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52.721699999999998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52.154800000000002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51.587899999999998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51.021000000000001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8" priority="9">
      <formula>F39&gt;0</formula>
    </cfRule>
    <cfRule type="expression" dxfId="977" priority="10">
      <formula>F39&lt;0</formula>
    </cfRule>
  </conditionalFormatting>
  <conditionalFormatting sqref="F25:F38">
    <cfRule type="expression" dxfId="976" priority="7">
      <formula>F25&gt;0</formula>
    </cfRule>
    <cfRule type="expression" dxfId="975" priority="8">
      <formula>F25&lt;0</formula>
    </cfRule>
  </conditionalFormatting>
  <conditionalFormatting sqref="H25:H38">
    <cfRule type="expression" dxfId="974" priority="5">
      <formula>H25&gt;0</formula>
    </cfRule>
    <cfRule type="expression" dxfId="973" priority="6">
      <formula>H25&lt;0</formula>
    </cfRule>
  </conditionalFormatting>
  <conditionalFormatting sqref="Q7">
    <cfRule type="expression" dxfId="972" priority="3">
      <formula>Q7&gt;0</formula>
    </cfRule>
    <cfRule type="expression" dxfId="971" priority="4">
      <formula>Q7&lt;0</formula>
    </cfRule>
  </conditionalFormatting>
  <conditionalFormatting sqref="Q8">
    <cfRule type="expression" dxfId="970" priority="1">
      <formula>Q8&gt;0</formula>
    </cfRule>
    <cfRule type="expression" dxfId="9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448.02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448.02</v>
      </c>
      <c r="R4" s="495">
        <v>-2.0999999999999999E-3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492.822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488.34180000000003</v>
      </c>
      <c r="W16" s="134"/>
    </row>
    <row r="17" spans="1:23" x14ac:dyDescent="0.25">
      <c r="O17" s="81">
        <v>1.08</v>
      </c>
      <c r="P17" s="81">
        <f t="shared" si="0"/>
        <v>483.86160000000001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479.38139999999999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474.90120000000002</v>
      </c>
      <c r="W19" s="134"/>
    </row>
    <row r="20" spans="1:23" x14ac:dyDescent="0.25">
      <c r="O20" s="81">
        <v>1.05</v>
      </c>
      <c r="P20" s="81">
        <f t="shared" si="0"/>
        <v>470.42099999999999</v>
      </c>
      <c r="W20" s="134"/>
    </row>
    <row r="21" spans="1:23" x14ac:dyDescent="0.25">
      <c r="O21" s="81">
        <v>1.04</v>
      </c>
      <c r="P21" s="81">
        <f t="shared" si="0"/>
        <v>465.94080000000002</v>
      </c>
      <c r="W21" s="134"/>
    </row>
    <row r="22" spans="1:23" x14ac:dyDescent="0.25">
      <c r="O22" s="81">
        <v>1.03</v>
      </c>
      <c r="P22" s="81">
        <f t="shared" si="0"/>
        <v>461.4606</v>
      </c>
      <c r="W22" s="134"/>
    </row>
    <row r="23" spans="1:23" x14ac:dyDescent="0.25">
      <c r="O23" s="81">
        <v>1.02</v>
      </c>
      <c r="P23" s="81">
        <f t="shared" si="0"/>
        <v>456.98039999999997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178</v>
      </c>
      <c r="L24" s="220"/>
      <c r="O24" s="81">
        <v>1.01</v>
      </c>
      <c r="P24" s="81">
        <f t="shared" si="0"/>
        <v>452.50020000000001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448.02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443.53979999999996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439.05959999999999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434.57939999999996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430.09919999999994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425.61899999999997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421.13879999999995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416.65859999999998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412.17840000000001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407.69819999999999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403.21800000000002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8" priority="29">
      <formula>F29&gt;0</formula>
    </cfRule>
    <cfRule type="expression" dxfId="967" priority="30">
      <formula>F29&lt;0</formula>
    </cfRule>
  </conditionalFormatting>
  <conditionalFormatting sqref="Q7">
    <cfRule type="expression" dxfId="966" priority="27">
      <formula>Q7&gt;0</formula>
    </cfRule>
    <cfRule type="expression" dxfId="965" priority="28">
      <formula>Q7&lt;0</formula>
    </cfRule>
  </conditionalFormatting>
  <conditionalFormatting sqref="Q8">
    <cfRule type="expression" dxfId="964" priority="25">
      <formula>Q8&gt;0</formula>
    </cfRule>
    <cfRule type="expression" dxfId="963" priority="26">
      <formula>Q8&lt;0</formula>
    </cfRule>
  </conditionalFormatting>
  <conditionalFormatting sqref="F96:F110">
    <cfRule type="expression" dxfId="962" priority="19">
      <formula>F96&gt;0</formula>
    </cfRule>
    <cfRule type="expression" dxfId="961" priority="20">
      <formula>F96&lt;0</formula>
    </cfRule>
  </conditionalFormatting>
  <conditionalFormatting sqref="H96:H110">
    <cfRule type="expression" dxfId="960" priority="17">
      <formula>H96&gt;0</formula>
    </cfRule>
    <cfRule type="expression" dxfId="959" priority="18">
      <formula>H96&lt;0</formula>
    </cfRule>
  </conditionalFormatting>
  <conditionalFormatting sqref="Q10">
    <cfRule type="expression" dxfId="958" priority="15">
      <formula>Q10&gt;0</formula>
    </cfRule>
    <cfRule type="expression" dxfId="957" priority="16">
      <formula>Q10&lt;0</formula>
    </cfRule>
  </conditionalFormatting>
  <conditionalFormatting sqref="L29:L38">
    <cfRule type="expression" dxfId="956" priority="9">
      <formula>L29&gt;0</formula>
    </cfRule>
    <cfRule type="expression" dxfId="955" priority="10">
      <formula>L29&lt;0</formula>
    </cfRule>
  </conditionalFormatting>
  <conditionalFormatting sqref="F27:F29 H27:H29 J25:K29">
    <cfRule type="expression" dxfId="954" priority="7">
      <formula>F25&gt;0</formula>
    </cfRule>
    <cfRule type="expression" dxfId="953" priority="8">
      <formula>F25&lt;0</formula>
    </cfRule>
  </conditionalFormatting>
  <conditionalFormatting sqref="L25:L29">
    <cfRule type="expression" dxfId="952" priority="5">
      <formula>L25&gt;0</formula>
    </cfRule>
    <cfRule type="expression" dxfId="951" priority="6">
      <formula>L25&lt;0</formula>
    </cfRule>
  </conditionalFormatting>
  <conditionalFormatting sqref="F25:F26">
    <cfRule type="expression" dxfId="950" priority="3">
      <formula>F25&gt;0</formula>
    </cfRule>
    <cfRule type="expression" dxfId="949" priority="4">
      <formula>F25&lt;0</formula>
    </cfRule>
  </conditionalFormatting>
  <conditionalFormatting sqref="H25:H26">
    <cfRule type="expression" dxfId="948" priority="1">
      <formula>H25&gt;0</formula>
    </cfRule>
    <cfRule type="expression" dxfId="94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849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884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885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96.05</v>
      </c>
      <c r="R4" s="495">
        <v>2.3099999999999999E-2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3842</v>
      </c>
      <c r="T5" s="1">
        <v>43121</v>
      </c>
      <c r="U5" t="s">
        <v>902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538.97000000000116</v>
      </c>
      <c r="R7">
        <v>40</v>
      </c>
      <c r="T7" s="1">
        <v>43138</v>
      </c>
      <c r="U7" t="s">
        <v>983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538.97000000000116</v>
      </c>
      <c r="T8" s="1"/>
      <c r="U8" t="s">
        <v>984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0.16317441863985538</v>
      </c>
      <c r="U9" t="s">
        <v>985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987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2.3737636647579385E-2</v>
      </c>
      <c r="R11">
        <f>0.57</f>
        <v>0.56999999999999995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 s="2">
        <f>Q4/4.76</f>
        <v>20.178571428571431</v>
      </c>
      <c r="T13" s="1">
        <v>43213</v>
      </c>
      <c r="U13" t="s">
        <v>986</v>
      </c>
      <c r="W13" s="134"/>
    </row>
    <row r="14" spans="1:23" x14ac:dyDescent="0.25">
      <c r="H14" s="70"/>
      <c r="U14" t="s">
        <v>1025</v>
      </c>
      <c r="W14" s="134"/>
    </row>
    <row r="15" spans="1:23" x14ac:dyDescent="0.25">
      <c r="H15" s="70"/>
      <c r="U15" t="s">
        <v>1026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1095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105.655</v>
      </c>
      <c r="W19" s="134"/>
    </row>
    <row r="20" spans="1:23" x14ac:dyDescent="0.25">
      <c r="O20" s="81">
        <v>1.0900000000000001</v>
      </c>
      <c r="P20" s="81">
        <f t="shared" ref="P20:P39" si="0">O20*$Q$4</f>
        <v>104.69450000000001</v>
      </c>
      <c r="W20" s="134"/>
    </row>
    <row r="21" spans="1:23" x14ac:dyDescent="0.25">
      <c r="O21" s="81">
        <v>1.08</v>
      </c>
      <c r="P21" s="81">
        <f t="shared" si="0"/>
        <v>103.73400000000001</v>
      </c>
      <c r="W21" s="134"/>
    </row>
    <row r="22" spans="1:23" x14ac:dyDescent="0.25">
      <c r="O22" s="81">
        <v>1.07</v>
      </c>
      <c r="P22" s="81">
        <f t="shared" si="0"/>
        <v>102.7735</v>
      </c>
      <c r="W22" s="134"/>
    </row>
    <row r="23" spans="1:23" x14ac:dyDescent="0.25">
      <c r="O23" s="81">
        <v>1.06</v>
      </c>
      <c r="P23" s="81">
        <f t="shared" si="0"/>
        <v>101.813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973</v>
      </c>
      <c r="L24" s="220"/>
      <c r="O24" s="81">
        <v>1.05</v>
      </c>
      <c r="P24" s="81">
        <f t="shared" si="0"/>
        <v>100.85250000000001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99.891999999999996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98.9315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97.971000000000004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97.010499999999993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96.05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95.089500000000001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94.128999999999991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93.168499999999995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92.207999999999998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91.247499999999988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90.286999999999992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89.326499999999996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88.366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87.405500000000004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86.444999999999993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6" priority="25">
      <formula>F47&gt;0</formula>
    </cfRule>
    <cfRule type="expression" dxfId="945" priority="26">
      <formula>F47&lt;0</formula>
    </cfRule>
  </conditionalFormatting>
  <conditionalFormatting sqref="Q7">
    <cfRule type="expression" dxfId="944" priority="23">
      <formula>Q7&gt;0</formula>
    </cfRule>
    <cfRule type="expression" dxfId="943" priority="24">
      <formula>Q7&lt;0</formula>
    </cfRule>
  </conditionalFormatting>
  <conditionalFormatting sqref="Q8">
    <cfRule type="expression" dxfId="942" priority="21">
      <formula>Q8&gt;0</formula>
    </cfRule>
    <cfRule type="expression" dxfId="941" priority="22">
      <formula>Q8&lt;0</formula>
    </cfRule>
  </conditionalFormatting>
  <conditionalFormatting sqref="F25:F29 F34:F46">
    <cfRule type="expression" dxfId="940" priority="19">
      <formula>F25&gt;0</formula>
    </cfRule>
    <cfRule type="expression" dxfId="939" priority="20">
      <formula>F25&lt;0</formula>
    </cfRule>
  </conditionalFormatting>
  <conditionalFormatting sqref="H25:H29 H34:H46">
    <cfRule type="expression" dxfId="938" priority="17">
      <formula>H25&gt;0</formula>
    </cfRule>
    <cfRule type="expression" dxfId="937" priority="18">
      <formula>H25&lt;0</formula>
    </cfRule>
  </conditionalFormatting>
  <conditionalFormatting sqref="F89:F110">
    <cfRule type="expression" dxfId="936" priority="15">
      <formula>F89&gt;0</formula>
    </cfRule>
    <cfRule type="expression" dxfId="935" priority="16">
      <formula>F89&lt;0</formula>
    </cfRule>
  </conditionalFormatting>
  <conditionalFormatting sqref="H89:H110">
    <cfRule type="expression" dxfId="934" priority="13">
      <formula>H89&gt;0</formula>
    </cfRule>
    <cfRule type="expression" dxfId="933" priority="14">
      <formula>H89&lt;0</formula>
    </cfRule>
  </conditionalFormatting>
  <conditionalFormatting sqref="Q10">
    <cfRule type="expression" dxfId="932" priority="11">
      <formula>Q10&gt;0</formula>
    </cfRule>
    <cfRule type="expression" dxfId="931" priority="12">
      <formula>Q10&lt;0</formula>
    </cfRule>
  </conditionalFormatting>
  <conditionalFormatting sqref="J25:J32 J34:J38">
    <cfRule type="expression" dxfId="930" priority="9">
      <formula>J25&gt;0</formula>
    </cfRule>
    <cfRule type="expression" dxfId="929" priority="10">
      <formula>J25&lt;0</formula>
    </cfRule>
  </conditionalFormatting>
  <conditionalFormatting sqref="K25:K30">
    <cfRule type="expression" dxfId="928" priority="7">
      <formula>K25&gt;0</formula>
    </cfRule>
    <cfRule type="expression" dxfId="927" priority="8">
      <formula>K25&lt;0</formula>
    </cfRule>
  </conditionalFormatting>
  <conditionalFormatting sqref="L25:L38">
    <cfRule type="expression" dxfId="926" priority="5">
      <formula>L25&gt;0</formula>
    </cfRule>
    <cfRule type="expression" dxfId="925" priority="6">
      <formula>L25&lt;0</formula>
    </cfRule>
  </conditionalFormatting>
  <conditionalFormatting sqref="F30:F33">
    <cfRule type="expression" dxfId="924" priority="3">
      <formula>F30&gt;0</formula>
    </cfRule>
    <cfRule type="expression" dxfId="923" priority="4">
      <formula>F30&lt;0</formula>
    </cfRule>
  </conditionalFormatting>
  <conditionalFormatting sqref="H30:H33">
    <cfRule type="expression" dxfId="922" priority="1">
      <formula>H30&gt;0</formula>
    </cfRule>
    <cfRule type="expression" dxfId="92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1020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76</v>
      </c>
      <c r="R4" s="495">
        <v>1.3100000000000001E-2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813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812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816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814</v>
      </c>
      <c r="W9" s="134"/>
    </row>
    <row r="10" spans="1:23" x14ac:dyDescent="0.25">
      <c r="H10" s="70"/>
      <c r="O10" s="11" t="s">
        <v>207</v>
      </c>
      <c r="P10" s="33"/>
      <c r="Q10" s="2">
        <f>M41</f>
        <v>459.31999999999971</v>
      </c>
      <c r="U10" t="s">
        <v>815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946</v>
      </c>
      <c r="Q12" s="1"/>
      <c r="T12" s="1">
        <v>43114</v>
      </c>
      <c r="U12" t="s">
        <v>866</v>
      </c>
      <c r="W12" s="134"/>
    </row>
    <row r="13" spans="1:23" x14ac:dyDescent="0.25">
      <c r="H13" s="70"/>
      <c r="O13" s="11" t="s">
        <v>973</v>
      </c>
      <c r="Q13" s="2">
        <f>Q4/(4.03+4.14)*2</f>
        <v>18.604651162790699</v>
      </c>
      <c r="U13" t="s">
        <v>867</v>
      </c>
      <c r="W13" s="134"/>
    </row>
    <row r="14" spans="1:23" x14ac:dyDescent="0.25">
      <c r="H14" s="70"/>
      <c r="U14" t="s">
        <v>869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83.600000000000009</v>
      </c>
      <c r="Q17" s="2"/>
      <c r="U17" t="s">
        <v>972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82.84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82.080000000000013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81.320000000000007</v>
      </c>
      <c r="Q20" s="2"/>
      <c r="W20" s="134"/>
    </row>
    <row r="21" spans="1:23" x14ac:dyDescent="0.25">
      <c r="O21" s="81">
        <v>1.06</v>
      </c>
      <c r="P21" s="81">
        <f t="shared" si="0"/>
        <v>80.56</v>
      </c>
      <c r="Q21" s="2"/>
      <c r="T21" s="1">
        <v>43283</v>
      </c>
      <c r="U21" t="s">
        <v>1153</v>
      </c>
      <c r="W21" s="134"/>
    </row>
    <row r="22" spans="1:23" x14ac:dyDescent="0.25">
      <c r="O22" s="81">
        <v>1.05</v>
      </c>
      <c r="P22" s="81">
        <f t="shared" si="0"/>
        <v>79.8</v>
      </c>
      <c r="Q22" s="2"/>
      <c r="W22" s="134"/>
    </row>
    <row r="23" spans="1:23" x14ac:dyDescent="0.25">
      <c r="O23" s="81">
        <v>1.04</v>
      </c>
      <c r="P23" s="81">
        <f t="shared" si="0"/>
        <v>79.040000000000006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M24" s="220" t="s">
        <v>150</v>
      </c>
      <c r="O24" s="81">
        <v>1.03</v>
      </c>
      <c r="P24" s="81">
        <f t="shared" si="0"/>
        <v>78.28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 t="shared" ref="F25:F26" si="1">C25*(E25-D25)</f>
        <v>-15.999999999999659</v>
      </c>
      <c r="G25" s="39">
        <f t="shared" ref="G25:G26" si="2">D25*C25</f>
        <v>6936</v>
      </c>
      <c r="H25" s="222">
        <f t="shared" ref="H25:H26" si="3"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77.52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 t="shared" si="1"/>
        <v>443.99999999999977</v>
      </c>
      <c r="G26" s="39">
        <f t="shared" si="2"/>
        <v>6936</v>
      </c>
      <c r="H26" s="222">
        <f t="shared" si="3"/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76.760000000000005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 t="shared" ref="F27" si="4">C27*(E27-D27)</f>
        <v>510.9499999999997</v>
      </c>
      <c r="G27" s="39">
        <f t="shared" ref="G27" si="5">D27*C27</f>
        <v>3212.55</v>
      </c>
      <c r="H27" s="222">
        <f t="shared" ref="H27" si="6"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75.239999999999995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74.48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73.72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72.959999999999994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71.44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70.680000000000007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69.92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69.16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68.400000000000006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733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7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7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7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7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7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7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7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497</v>
      </c>
      <c r="K64" s="488"/>
      <c r="L64" s="488" t="s">
        <v>973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8">C65*(E65-D65)</f>
        <v>196.00000000000009</v>
      </c>
      <c r="G65" s="363">
        <f t="shared" ref="G65:G88" si="9">D65*C65</f>
        <v>4033.5</v>
      </c>
      <c r="H65" s="364">
        <f t="shared" ref="H65:H88" si="10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8"/>
        <v>204.50000000000017</v>
      </c>
      <c r="G66" s="363">
        <f t="shared" si="9"/>
        <v>7942.5</v>
      </c>
      <c r="H66" s="364">
        <f t="shared" si="10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8"/>
        <v>-1441.4999999999991</v>
      </c>
      <c r="G67" s="363">
        <f t="shared" si="9"/>
        <v>14797.5</v>
      </c>
      <c r="H67" s="364">
        <f t="shared" si="10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8"/>
        <v>-510.58499999999896</v>
      </c>
      <c r="G68" s="363">
        <f t="shared" si="9"/>
        <v>11228.084999999999</v>
      </c>
      <c r="H68" s="364">
        <f t="shared" si="10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8"/>
        <v>-1091.0849999999996</v>
      </c>
      <c r="G69" s="363">
        <f t="shared" si="9"/>
        <v>11228.084999999999</v>
      </c>
      <c r="H69" s="364">
        <f t="shared" si="10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8"/>
        <v>-659.08500000000026</v>
      </c>
      <c r="G70" s="363">
        <f t="shared" si="9"/>
        <v>11228.084999999999</v>
      </c>
      <c r="H70" s="364">
        <f t="shared" si="10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8"/>
        <v>-236.15999999999957</v>
      </c>
      <c r="G71" s="363">
        <f t="shared" si="9"/>
        <v>7564.16</v>
      </c>
      <c r="H71" s="364">
        <f t="shared" si="10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8"/>
        <v>-130.15999999999934</v>
      </c>
      <c r="G72" s="363">
        <f t="shared" si="9"/>
        <v>7564.16</v>
      </c>
      <c r="H72" s="364">
        <f t="shared" si="10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8"/>
        <v>-285.15999999999906</v>
      </c>
      <c r="G73" s="363">
        <f t="shared" si="9"/>
        <v>7564.16</v>
      </c>
      <c r="H73" s="364">
        <f t="shared" si="10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8"/>
        <v>-80.159999999999343</v>
      </c>
      <c r="G74" s="363">
        <f t="shared" si="9"/>
        <v>7564.16</v>
      </c>
      <c r="H74" s="364">
        <f t="shared" si="10"/>
        <v>-1.0597343260851086E-2</v>
      </c>
      <c r="I74" s="363"/>
      <c r="J74" s="363">
        <v>65</v>
      </c>
      <c r="K74" s="489" t="s">
        <v>868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8"/>
        <v>103.75000000000014</v>
      </c>
      <c r="G75" s="363">
        <f t="shared" si="9"/>
        <v>3730.25</v>
      </c>
      <c r="H75" s="364">
        <f t="shared" si="10"/>
        <v>2.7813149252731088E-2</v>
      </c>
      <c r="I75" s="363"/>
      <c r="J75" s="363">
        <v>70</v>
      </c>
      <c r="K75" s="489" t="s">
        <v>893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8"/>
        <v>-32.249999999999091</v>
      </c>
      <c r="G76" s="363">
        <f t="shared" si="9"/>
        <v>7494.25</v>
      </c>
      <c r="H76" s="364">
        <f t="shared" si="10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8"/>
        <v>101.9999999999996</v>
      </c>
      <c r="G77" s="363">
        <f t="shared" si="9"/>
        <v>7494</v>
      </c>
      <c r="H77" s="364">
        <f t="shared" si="10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8"/>
        <v>392.00000000000017</v>
      </c>
      <c r="G78" s="363">
        <f t="shared" si="9"/>
        <v>3554.5</v>
      </c>
      <c r="H78" s="364">
        <f t="shared" si="10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8"/>
        <v>129.66000000000122</v>
      </c>
      <c r="G79" s="363">
        <f t="shared" si="9"/>
        <v>7438.3399999999992</v>
      </c>
      <c r="H79" s="364">
        <f t="shared" si="10"/>
        <v>1.7431308598424008E-2</v>
      </c>
      <c r="I79" s="363" t="s">
        <v>916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8"/>
        <v>-600</v>
      </c>
      <c r="G80" s="363">
        <f t="shared" si="9"/>
        <v>7438</v>
      </c>
      <c r="H80" s="364">
        <f t="shared" si="10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8"/>
        <v>-682.33999999999924</v>
      </c>
      <c r="G81" s="363">
        <f t="shared" si="9"/>
        <v>14276.339999999998</v>
      </c>
      <c r="H81" s="364">
        <f t="shared" si="10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8"/>
        <v>-1237.9999999999995</v>
      </c>
      <c r="G82" s="363">
        <f t="shared" si="9"/>
        <v>14276</v>
      </c>
      <c r="H82" s="364">
        <f t="shared" si="10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8"/>
        <v>-589.99999999999773</v>
      </c>
      <c r="G83" s="363">
        <f t="shared" si="9"/>
        <v>14276</v>
      </c>
      <c r="H83" s="364">
        <f t="shared" si="10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8"/>
        <v>-1357.9999999999984</v>
      </c>
      <c r="G84" s="363">
        <f t="shared" si="9"/>
        <v>14276</v>
      </c>
      <c r="H84" s="364">
        <f t="shared" si="10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8"/>
        <v>-1167.9999999999977</v>
      </c>
      <c r="G85" s="363">
        <f t="shared" si="9"/>
        <v>14276</v>
      </c>
      <c r="H85" s="364">
        <f t="shared" si="10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8"/>
        <v>-1259.9999999999995</v>
      </c>
      <c r="G86" s="363">
        <f t="shared" si="9"/>
        <v>14276</v>
      </c>
      <c r="H86" s="364">
        <f t="shared" si="10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8"/>
        <v>-919.99999999999886</v>
      </c>
      <c r="G87" s="363">
        <f t="shared" si="9"/>
        <v>14276</v>
      </c>
      <c r="H87" s="364">
        <f t="shared" si="10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8"/>
        <v>-462.00000000000045</v>
      </c>
      <c r="G88" s="363">
        <f t="shared" si="9"/>
        <v>14276</v>
      </c>
      <c r="H88" s="364">
        <f t="shared" si="10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0" priority="49">
      <formula>Q7&gt;0</formula>
    </cfRule>
    <cfRule type="expression" dxfId="919" priority="50">
      <formula>Q7&lt;0</formula>
    </cfRule>
  </conditionalFormatting>
  <conditionalFormatting sqref="Q8">
    <cfRule type="expression" dxfId="918" priority="47">
      <formula>Q8&gt;0</formula>
    </cfRule>
    <cfRule type="expression" dxfId="917" priority="48">
      <formula>Q8&lt;0</formula>
    </cfRule>
  </conditionalFormatting>
  <conditionalFormatting sqref="F26:F38">
    <cfRule type="expression" dxfId="916" priority="45">
      <formula>F26&gt;0</formula>
    </cfRule>
    <cfRule type="expression" dxfId="915" priority="46">
      <formula>F26&lt;0</formula>
    </cfRule>
  </conditionalFormatting>
  <conditionalFormatting sqref="H26:H38">
    <cfRule type="expression" dxfId="914" priority="43">
      <formula>H26&gt;0</formula>
    </cfRule>
    <cfRule type="expression" dxfId="913" priority="44">
      <formula>H26&lt;0</formula>
    </cfRule>
  </conditionalFormatting>
  <conditionalFormatting sqref="H25">
    <cfRule type="expression" dxfId="912" priority="23">
      <formula>H25&gt;0</formula>
    </cfRule>
    <cfRule type="expression" dxfId="911" priority="24">
      <formula>H25&lt;0</formula>
    </cfRule>
  </conditionalFormatting>
  <conditionalFormatting sqref="Q10">
    <cfRule type="expression" dxfId="910" priority="37">
      <formula>Q10&gt;0</formula>
    </cfRule>
    <cfRule type="expression" dxfId="909" priority="38">
      <formula>Q10&lt;0</formula>
    </cfRule>
  </conditionalFormatting>
  <conditionalFormatting sqref="F25">
    <cfRule type="expression" dxfId="908" priority="25">
      <formula>F25&gt;0</formula>
    </cfRule>
    <cfRule type="expression" dxfId="907" priority="26">
      <formula>F25&lt;0</formula>
    </cfRule>
  </conditionalFormatting>
  <conditionalFormatting sqref="J65:K72">
    <cfRule type="expression" dxfId="906" priority="19">
      <formula>J65&gt;0</formula>
    </cfRule>
    <cfRule type="expression" dxfId="905" priority="20">
      <formula>J65&lt;0</formula>
    </cfRule>
  </conditionalFormatting>
  <conditionalFormatting sqref="F65:F83 F89">
    <cfRule type="expression" dxfId="904" priority="17">
      <formula>F65&gt;0</formula>
    </cfRule>
    <cfRule type="expression" dxfId="903" priority="18">
      <formula>F65&lt;0</formula>
    </cfRule>
  </conditionalFormatting>
  <conditionalFormatting sqref="H65:H83 H89">
    <cfRule type="expression" dxfId="902" priority="15">
      <formula>H65&gt;0</formula>
    </cfRule>
    <cfRule type="expression" dxfId="901" priority="16">
      <formula>H65&lt;0</formula>
    </cfRule>
  </conditionalFormatting>
  <conditionalFormatting sqref="J76:J78">
    <cfRule type="expression" dxfId="900" priority="13">
      <formula>J76&gt;0</formula>
    </cfRule>
    <cfRule type="expression" dxfId="899" priority="14">
      <formula>J76&lt;0</formula>
    </cfRule>
  </conditionalFormatting>
  <conditionalFormatting sqref="K76:K78">
    <cfRule type="expression" dxfId="898" priority="11">
      <formula>K76&gt;0</formula>
    </cfRule>
    <cfRule type="expression" dxfId="897" priority="12">
      <formula>K76&lt;0</formula>
    </cfRule>
  </conditionalFormatting>
  <conditionalFormatting sqref="L65:L78">
    <cfRule type="expression" dxfId="896" priority="9">
      <formula>L65&gt;0</formula>
    </cfRule>
    <cfRule type="expression" dxfId="895" priority="10">
      <formula>L65&lt;0</formula>
    </cfRule>
  </conditionalFormatting>
  <conditionalFormatting sqref="F84:F88">
    <cfRule type="expression" dxfId="894" priority="7">
      <formula>F84&gt;0</formula>
    </cfRule>
    <cfRule type="expression" dxfId="893" priority="8">
      <formula>F84&lt;0</formula>
    </cfRule>
  </conditionalFormatting>
  <conditionalFormatting sqref="H84:H88">
    <cfRule type="expression" dxfId="892" priority="5">
      <formula>H84&gt;0</formula>
    </cfRule>
    <cfRule type="expression" dxfId="891" priority="6">
      <formula>H84&lt;0</formula>
    </cfRule>
  </conditionalFormatting>
  <conditionalFormatting sqref="M65:M78">
    <cfRule type="expression" dxfId="890" priority="3">
      <formula>M65&gt;0</formula>
    </cfRule>
    <cfRule type="expression" dxfId="889" priority="4">
      <formula>M65&lt;0</formula>
    </cfRule>
  </conditionalFormatting>
  <conditionalFormatting sqref="M26:M31">
    <cfRule type="expression" dxfId="888" priority="1">
      <formula>M26&gt;0</formula>
    </cfRule>
    <cfRule type="expression" dxfId="88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824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1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189</v>
      </c>
      <c r="AJ2">
        <f>$Q$2*$Q$4</f>
        <v>9232</v>
      </c>
      <c r="AK2">
        <f ca="1">AJ2*EXP(-$X$2 * AI2/365.25)</f>
        <v>16143.634323554479</v>
      </c>
      <c r="AM2" s="2">
        <f>Q10</f>
        <v>0</v>
      </c>
      <c r="AO2">
        <f ca="1" xml:space="preserve"> (SUM(AB:AB) - SUM(AE:AE) - SUM(AH:AH) - SUM(AK:AK))/SUM(AB:AB)</f>
        <v>-0.11666218265446844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1018</v>
      </c>
      <c r="W3" s="134"/>
      <c r="Z3">
        <f t="shared" ref="Z3:Z15" si="2">B3-$B$2</f>
        <v>0</v>
      </c>
      <c r="AA3" s="2">
        <f t="shared" ref="AA3:AA15" si="3">F3</f>
        <v>1805.9999999999998</v>
      </c>
      <c r="AB3">
        <f t="shared" ref="AB3:AB17" si="4">AA3*EXP(-Z3/365.25 * $X$2)</f>
        <v>1805.9999999999998</v>
      </c>
      <c r="AC3">
        <f t="shared" ref="AC3:AC15" si="5">G3-$B$2</f>
        <v>84</v>
      </c>
      <c r="AD3" s="2">
        <f t="shared" ref="AD3:AD15" si="6">K3</f>
        <v>2202.3399999999997</v>
      </c>
      <c r="AE3">
        <f t="shared" ref="AE3:AE17" si="7">AD3*EXP(-AC3/365.25 * $X$2)</f>
        <v>2823.2769657080917</v>
      </c>
      <c r="AF3">
        <f t="shared" ref="AF3:AF15" si="8">L3-$B$2</f>
        <v>121</v>
      </c>
      <c r="AG3" s="2">
        <f t="shared" ref="AG3:AG15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189</v>
      </c>
      <c r="AJ3">
        <f t="shared" ref="AJ3:AJ17" si="12">$Q$2*$Q$4</f>
        <v>9232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23.08</v>
      </c>
      <c r="R4" s="495">
        <v>-5.7000000000000002E-3</v>
      </c>
      <c r="U4" t="s">
        <v>1019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189</v>
      </c>
      <c r="AJ4">
        <f t="shared" si="12"/>
        <v>9232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9232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189</v>
      </c>
      <c r="AJ5">
        <f t="shared" si="12"/>
        <v>9232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883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189</v>
      </c>
      <c r="AJ6">
        <f t="shared" si="12"/>
        <v>9232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4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-3104.6800000000003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189</v>
      </c>
      <c r="AJ7">
        <f t="shared" si="12"/>
        <v>9232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-3104.6800000000003</v>
      </c>
      <c r="T8" s="1">
        <v>43121</v>
      </c>
      <c r="U8" t="s">
        <v>901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189</v>
      </c>
      <c r="AJ8">
        <f t="shared" si="12"/>
        <v>9232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-0.25166252184542359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189</v>
      </c>
      <c r="AJ9">
        <f t="shared" si="12"/>
        <v>9232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207</v>
      </c>
      <c r="P10" s="33"/>
      <c r="Q10" s="2">
        <f>M72</f>
        <v>0</v>
      </c>
      <c r="T10" s="1">
        <v>43160</v>
      </c>
      <c r="U10" t="s">
        <v>974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189</v>
      </c>
      <c r="AJ10">
        <f t="shared" si="12"/>
        <v>9232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4.5060658578856154E-2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189</v>
      </c>
      <c r="AJ11">
        <f t="shared" si="12"/>
        <v>9232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946</v>
      </c>
      <c r="Q12" s="1"/>
      <c r="T12" s="1">
        <v>43223</v>
      </c>
      <c r="U12" t="s">
        <v>1059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189</v>
      </c>
      <c r="AJ12">
        <f t="shared" si="12"/>
        <v>9232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973</v>
      </c>
      <c r="Q13">
        <f>Q4/(1.65+1.75)*2</f>
        <v>13.576470588235294</v>
      </c>
      <c r="U13" t="s">
        <v>1060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189</v>
      </c>
      <c r="AJ13">
        <f t="shared" si="12"/>
        <v>9232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1111</v>
      </c>
      <c r="Q14" s="821">
        <v>-1.08</v>
      </c>
      <c r="U14" t="s">
        <v>1061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189</v>
      </c>
      <c r="AJ14">
        <f t="shared" si="12"/>
        <v>9232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4"/>
        <v>2358</v>
      </c>
      <c r="H15" s="70"/>
      <c r="O15" s="11" t="s">
        <v>1062</v>
      </c>
      <c r="Q15" s="29">
        <v>43226</v>
      </c>
      <c r="W15" s="134"/>
      <c r="Z15">
        <f t="shared" si="2"/>
        <v>178</v>
      </c>
      <c r="AA15" s="2">
        <f t="shared" si="3"/>
        <v>2358</v>
      </c>
      <c r="AB15">
        <f t="shared" si="4"/>
        <v>3991.3847963141998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189</v>
      </c>
      <c r="AJ15">
        <f t="shared" si="12"/>
        <v>9232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1073</v>
      </c>
      <c r="W16" s="134"/>
      <c r="Z16">
        <f>B22-$B$2</f>
        <v>-43098</v>
      </c>
      <c r="AA16" s="2">
        <f>F22</f>
        <v>0</v>
      </c>
      <c r="AB16">
        <f t="shared" si="4"/>
        <v>0</v>
      </c>
      <c r="AC16">
        <f>G22-$B$2</f>
        <v>-43098</v>
      </c>
      <c r="AD16" s="2">
        <f>K22</f>
        <v>0</v>
      </c>
      <c r="AE16">
        <f t="shared" si="7"/>
        <v>0</v>
      </c>
      <c r="AF16">
        <f>L22-$B$2</f>
        <v>-43098</v>
      </c>
      <c r="AG16" s="2">
        <f>M22</f>
        <v>0</v>
      </c>
      <c r="AH16">
        <f t="shared" si="10"/>
        <v>0</v>
      </c>
      <c r="AI16" s="2">
        <f t="shared" ca="1" si="11"/>
        <v>189</v>
      </c>
      <c r="AJ16">
        <f t="shared" si="12"/>
        <v>9232</v>
      </c>
    </row>
    <row r="17" spans="1:39" x14ac:dyDescent="0.25">
      <c r="W17" s="134"/>
      <c r="Z17">
        <f>B23-$B$2</f>
        <v>-43098</v>
      </c>
      <c r="AA17" s="2">
        <f>F23</f>
        <v>0</v>
      </c>
      <c r="AB17">
        <f t="shared" si="4"/>
        <v>0</v>
      </c>
      <c r="AC17">
        <f>G23-$B$2</f>
        <v>-43098</v>
      </c>
      <c r="AD17" s="2">
        <f>K23</f>
        <v>0</v>
      </c>
      <c r="AE17">
        <f t="shared" si="7"/>
        <v>0</v>
      </c>
      <c r="AF17">
        <f>L23-$B$2</f>
        <v>-43098</v>
      </c>
      <c r="AG17" s="2">
        <f>M23</f>
        <v>0</v>
      </c>
      <c r="AH17">
        <f t="shared" si="10"/>
        <v>0</v>
      </c>
      <c r="AI17" s="2">
        <f t="shared" ca="1" si="11"/>
        <v>189</v>
      </c>
      <c r="AJ17">
        <f t="shared" si="12"/>
        <v>9232</v>
      </c>
      <c r="AM17" s="2"/>
    </row>
    <row r="18" spans="1:39" ht="20.25" thickBot="1" x14ac:dyDescent="0.35">
      <c r="C18" s="4"/>
      <c r="D18" s="3"/>
      <c r="E18" s="3"/>
      <c r="F18" s="3"/>
      <c r="H18" s="70"/>
      <c r="O18" s="849" t="s">
        <v>78</v>
      </c>
      <c r="P18" s="849"/>
      <c r="T18" s="1">
        <v>43236</v>
      </c>
      <c r="U18" t="s">
        <v>1087</v>
      </c>
      <c r="W18" s="134"/>
    </row>
    <row r="19" spans="1:39" ht="15.75" thickTop="1" x14ac:dyDescent="0.25">
      <c r="O19" s="81">
        <v>1.1000000000000001</v>
      </c>
      <c r="P19" s="81">
        <f>O19*$Q$4</f>
        <v>25.388000000000002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5">O20*$Q$4</f>
        <v>25.1572</v>
      </c>
      <c r="T20" s="1">
        <v>43244</v>
      </c>
      <c r="U20" t="s">
        <v>1101</v>
      </c>
      <c r="W20" s="134"/>
    </row>
    <row r="21" spans="1:39" x14ac:dyDescent="0.25">
      <c r="O21" s="81">
        <v>1.08</v>
      </c>
      <c r="P21" s="81">
        <f t="shared" si="15"/>
        <v>24.926400000000001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5"/>
        <v>24.695599999999999</v>
      </c>
      <c r="W22" s="134"/>
    </row>
    <row r="23" spans="1:39" x14ac:dyDescent="0.25">
      <c r="O23" s="81">
        <v>1.06</v>
      </c>
      <c r="P23" s="81">
        <f t="shared" si="15"/>
        <v>24.4648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5"/>
        <v>24.233999999999998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5"/>
        <v>24.0032</v>
      </c>
      <c r="W25" s="134"/>
    </row>
    <row r="26" spans="1:39" x14ac:dyDescent="0.25">
      <c r="O26" s="81">
        <v>1.03</v>
      </c>
      <c r="P26" s="81">
        <f t="shared" si="15"/>
        <v>23.772399999999998</v>
      </c>
      <c r="W26" s="134"/>
    </row>
    <row r="27" spans="1:39" x14ac:dyDescent="0.25">
      <c r="O27" s="81">
        <v>1.02</v>
      </c>
      <c r="P27" s="81">
        <f t="shared" si="15"/>
        <v>23.541599999999999</v>
      </c>
      <c r="W27" s="134"/>
    </row>
    <row r="28" spans="1:39" x14ac:dyDescent="0.25">
      <c r="O28" s="81">
        <v>1.01</v>
      </c>
      <c r="P28" s="81">
        <f t="shared" si="15"/>
        <v>23.310799999999997</v>
      </c>
      <c r="W28" s="134"/>
    </row>
    <row r="29" spans="1:39" x14ac:dyDescent="0.25">
      <c r="O29" s="81">
        <v>1</v>
      </c>
      <c r="P29" s="81">
        <f t="shared" si="15"/>
        <v>23.08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497</v>
      </c>
      <c r="K30" s="220"/>
      <c r="L30" s="220" t="s">
        <v>973</v>
      </c>
      <c r="O30" s="81">
        <v>0.99</v>
      </c>
      <c r="P30" s="81">
        <f t="shared" si="15"/>
        <v>22.8492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 t="shared" ref="F31" si="16">C31*(E31-D31)</f>
        <v>-11.999999999999744</v>
      </c>
      <c r="G31" s="39">
        <f t="shared" ref="G31" si="17">D31*C31</f>
        <v>3625</v>
      </c>
      <c r="H31" s="222">
        <f t="shared" ref="H31" si="18"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5"/>
        <v>22.618399999999998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 t="shared" ref="F32" si="19">C32*(E32-D32)</f>
        <v>142.99999999999997</v>
      </c>
      <c r="G32" s="39">
        <f t="shared" ref="G32" si="20">D32*C32</f>
        <v>3625</v>
      </c>
      <c r="H32" s="222">
        <f t="shared" ref="H32" si="21">(E32-D32)/D32</f>
        <v>3.9448275862068956E-2</v>
      </c>
      <c r="I32" s="39"/>
      <c r="J32" s="39"/>
      <c r="K32" s="39"/>
      <c r="L32" s="39"/>
      <c r="O32" s="81">
        <v>0.97</v>
      </c>
      <c r="P32" s="81">
        <f t="shared" si="15"/>
        <v>22.387599999999999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 t="shared" ref="F33" si="22">C33*(E33-D33)</f>
        <v>60.000000000000142</v>
      </c>
      <c r="G33" s="39">
        <f t="shared" ref="G33" si="23">D33*C33</f>
        <v>3625</v>
      </c>
      <c r="H33" s="222">
        <f t="shared" ref="H33" si="24"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5"/>
        <v>22.156799999999997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25">C34*(E34-D34)</f>
        <v>176.9999999999996</v>
      </c>
      <c r="G34" s="39">
        <f t="shared" ref="G34:G41" si="26">D34*C34</f>
        <v>3599</v>
      </c>
      <c r="H34" s="222">
        <f t="shared" ref="H34:H41" si="27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5"/>
        <v>21.925999999999998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25"/>
        <v>81.000000000000227</v>
      </c>
      <c r="G35" s="39">
        <f t="shared" si="26"/>
        <v>7267</v>
      </c>
      <c r="H35" s="222">
        <f t="shared" si="27"/>
        <v>1.1146277693683806E-2</v>
      </c>
      <c r="I35" s="39"/>
      <c r="J35" s="39"/>
      <c r="K35" s="39"/>
      <c r="L35" s="155"/>
      <c r="O35" s="81">
        <v>0.94</v>
      </c>
      <c r="P35" s="81">
        <f t="shared" si="15"/>
        <v>21.695199999999996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25"/>
        <v>-90.990000000000038</v>
      </c>
      <c r="G36" s="39">
        <f t="shared" si="26"/>
        <v>10788.99</v>
      </c>
      <c r="H36" s="222">
        <f t="shared" si="27"/>
        <v>-8.4335975842039015E-3</v>
      </c>
      <c r="I36" s="39"/>
      <c r="J36" s="39"/>
      <c r="K36" s="39"/>
      <c r="L36" s="155"/>
      <c r="O36" s="81">
        <v>0.93</v>
      </c>
      <c r="P36" s="81">
        <f t="shared" si="15"/>
        <v>21.464400000000001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25"/>
        <v>-489.98999999999955</v>
      </c>
      <c r="G37" s="39">
        <f t="shared" si="26"/>
        <v>10788.99</v>
      </c>
      <c r="H37" s="222">
        <f t="shared" si="27"/>
        <v>-4.5415743271612963E-2</v>
      </c>
      <c r="I37" s="39"/>
      <c r="J37" s="39"/>
      <c r="K37" s="39"/>
      <c r="L37" s="155"/>
      <c r="O37" s="81">
        <v>0.92</v>
      </c>
      <c r="P37" s="81">
        <f t="shared" si="15"/>
        <v>21.233599999999999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25"/>
        <v>-3975.9999999999991</v>
      </c>
      <c r="G38" s="39">
        <f t="shared" si="26"/>
        <v>13616</v>
      </c>
      <c r="H38" s="222">
        <f t="shared" si="27"/>
        <v>-0.29200940070505282</v>
      </c>
      <c r="I38" s="39"/>
      <c r="J38" s="39"/>
      <c r="K38" s="39"/>
      <c r="L38" s="155"/>
      <c r="O38" s="81">
        <v>0.91</v>
      </c>
      <c r="P38" s="81">
        <f t="shared" si="15"/>
        <v>21.002800000000001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25"/>
        <v>-3965</v>
      </c>
      <c r="G39" s="39">
        <f t="shared" si="26"/>
        <v>16015</v>
      </c>
      <c r="H39" s="222">
        <f t="shared" si="27"/>
        <v>-0.2475803933812051</v>
      </c>
      <c r="I39" s="39"/>
      <c r="J39" s="39"/>
      <c r="K39" s="39"/>
      <c r="L39" s="155"/>
      <c r="O39" s="81">
        <v>0.9</v>
      </c>
      <c r="P39" s="81">
        <f t="shared" si="15"/>
        <v>20.771999999999998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25"/>
        <v>-3815.9999999999995</v>
      </c>
      <c r="G40" s="39">
        <f t="shared" si="26"/>
        <v>18276</v>
      </c>
      <c r="H40" s="222">
        <f t="shared" si="27"/>
        <v>-0.20879842416283648</v>
      </c>
      <c r="I40" s="39"/>
      <c r="J40" s="39"/>
      <c r="K40" s="787" t="s">
        <v>943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25"/>
        <v>-3305.1200000000008</v>
      </c>
      <c r="G41" s="39">
        <f t="shared" si="26"/>
        <v>13285.12</v>
      </c>
      <c r="H41" s="222">
        <f t="shared" si="27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46" si="28">C42*(E42-D42)</f>
        <v>-3721.1200000000003</v>
      </c>
      <c r="G42" s="39">
        <f t="shared" ref="G42:G46" si="29">D42*C42</f>
        <v>13285.12</v>
      </c>
      <c r="H42" s="222">
        <f t="shared" ref="H42:H46" si="30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28"/>
        <v>-4027.9999999999986</v>
      </c>
      <c r="G43" s="39">
        <f t="shared" si="29"/>
        <v>15613</v>
      </c>
      <c r="H43" s="222">
        <f t="shared" si="30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28"/>
        <v>-4563.1098000000002</v>
      </c>
      <c r="G44" s="39">
        <f t="shared" si="29"/>
        <v>17756.809799999999</v>
      </c>
      <c r="H44" s="222">
        <f t="shared" si="30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28"/>
        <v>-4648.5000000000018</v>
      </c>
      <c r="G45" s="39">
        <f t="shared" si="29"/>
        <v>17764.5</v>
      </c>
      <c r="H45" s="222">
        <f t="shared" si="30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28"/>
        <v>-4041.4999999999991</v>
      </c>
      <c r="G46" s="39">
        <f t="shared" si="29"/>
        <v>15466.5</v>
      </c>
      <c r="H46" s="222">
        <f t="shared" si="30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ref="F47:F49" si="31">C47*(E47-D47)</f>
        <v>-4301.5000000000009</v>
      </c>
      <c r="G47" s="39">
        <f t="shared" ref="G47:G49" si="32">D47*C47</f>
        <v>15466.5</v>
      </c>
      <c r="H47" s="222">
        <f t="shared" ref="H47:H49" si="33">(E47-D47)/D47</f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31"/>
        <v>-3776.55</v>
      </c>
      <c r="G48" s="39">
        <f t="shared" si="32"/>
        <v>15466.55</v>
      </c>
      <c r="H48" s="222">
        <f t="shared" si="33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31"/>
        <v>-3573.6000000000004</v>
      </c>
      <c r="G49" s="39">
        <f t="shared" si="32"/>
        <v>13077.6</v>
      </c>
      <c r="H49" s="222">
        <f t="shared" si="33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ref="F50:F54" si="34">C50*(E50-D50)</f>
        <v>-3443.5999999999995</v>
      </c>
      <c r="G50" s="39">
        <f t="shared" ref="G50:G54" si="35">D50*C50</f>
        <v>12947.6</v>
      </c>
      <c r="H50" s="222">
        <f t="shared" ref="H50:H54" si="36">(E50-D50)/D50</f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34"/>
        <v>-3635</v>
      </c>
      <c r="G51" s="39">
        <f t="shared" si="35"/>
        <v>15275</v>
      </c>
      <c r="H51" s="222">
        <f t="shared" si="36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34"/>
        <v>-4228.619999999999</v>
      </c>
      <c r="G52" s="39">
        <f t="shared" si="35"/>
        <v>17482.62</v>
      </c>
      <c r="H52" s="222">
        <f t="shared" si="36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34"/>
        <v>-4223.9999999999991</v>
      </c>
      <c r="G53" s="39">
        <f t="shared" si="35"/>
        <v>17484</v>
      </c>
      <c r="H53" s="222">
        <f t="shared" si="36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34"/>
        <v>-4620</v>
      </c>
      <c r="G54" s="39">
        <f t="shared" si="35"/>
        <v>17484</v>
      </c>
      <c r="H54" s="222">
        <f t="shared" si="36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59" si="37">C55*(E55-D55)</f>
        <v>-4008</v>
      </c>
      <c r="G55" s="39">
        <f t="shared" ref="G55:G58" si="38">D55*C55</f>
        <v>17484</v>
      </c>
      <c r="H55" s="222">
        <f t="shared" ref="H55:H58" si="39">(E55-D55)/D55</f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37"/>
        <v>-3190.6400000000003</v>
      </c>
      <c r="G56" s="39">
        <f t="shared" si="38"/>
        <v>12506.64</v>
      </c>
      <c r="H56" s="222">
        <f t="shared" si="39"/>
        <v>-0.25511568254942979</v>
      </c>
      <c r="I56" s="193" t="s">
        <v>1140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37"/>
        <v>-2742.6900000000005</v>
      </c>
      <c r="G57" s="39">
        <f t="shared" si="38"/>
        <v>9978.69</v>
      </c>
      <c r="H57" s="222">
        <f t="shared" si="3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37"/>
        <v>-2836.7999999999993</v>
      </c>
      <c r="G58" s="39">
        <f t="shared" si="38"/>
        <v>12336.8</v>
      </c>
      <c r="H58" s="222">
        <f t="shared" si="39"/>
        <v>-0.22994617729070743</v>
      </c>
      <c r="I58" s="193" t="s">
        <v>774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37"/>
        <v>-3344</v>
      </c>
      <c r="G59" s="39">
        <f t="shared" ref="G59" si="40">D59*C59</f>
        <v>12336</v>
      </c>
      <c r="H59" s="222">
        <f t="shared" ref="H59" si="41">(E59-D59)/D59</f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  <c r="W65" s="134"/>
    </row>
    <row r="66" spans="1:2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  <c r="W66" s="134"/>
    </row>
    <row r="67" spans="1:23" x14ac:dyDescent="0.25">
      <c r="A67" s="4"/>
      <c r="B67" s="72"/>
      <c r="C67" s="4"/>
      <c r="D67" s="3"/>
      <c r="E67" s="3"/>
      <c r="F67" s="3"/>
      <c r="G67" s="3"/>
      <c r="H67" s="269"/>
      <c r="I67" s="3"/>
      <c r="J67" s="3"/>
      <c r="K67" s="3"/>
      <c r="L67" s="4"/>
      <c r="W67" s="134"/>
    </row>
    <row r="68" spans="1:23" x14ac:dyDescent="0.25">
      <c r="A68" s="4"/>
      <c r="B68" s="72"/>
      <c r="C68" s="4"/>
      <c r="D68" s="3"/>
      <c r="E68" s="3"/>
      <c r="F68" s="3"/>
      <c r="G68" s="3"/>
      <c r="H68" s="269"/>
      <c r="I68" s="3"/>
      <c r="J68" s="3"/>
      <c r="K68" s="3"/>
      <c r="L68" s="4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824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86" priority="21">
      <formula>F31&gt;0</formula>
    </cfRule>
    <cfRule type="expression" dxfId="885" priority="22">
      <formula>F31&lt;0</formula>
    </cfRule>
  </conditionalFormatting>
  <conditionalFormatting sqref="Q7">
    <cfRule type="expression" dxfId="884" priority="19">
      <formula>Q7&gt;0</formula>
    </cfRule>
    <cfRule type="expression" dxfId="883" priority="20">
      <formula>Q7&lt;0</formula>
    </cfRule>
  </conditionalFormatting>
  <conditionalFormatting sqref="Q8">
    <cfRule type="expression" dxfId="882" priority="17">
      <formula>Q8&gt;0</formula>
    </cfRule>
    <cfRule type="expression" dxfId="881" priority="18">
      <formula>Q8&lt;0</formula>
    </cfRule>
  </conditionalFormatting>
  <conditionalFormatting sqref="F95:F116">
    <cfRule type="expression" dxfId="880" priority="11">
      <formula>F95&gt;0</formula>
    </cfRule>
    <cfRule type="expression" dxfId="879" priority="12">
      <formula>F95&lt;0</formula>
    </cfRule>
  </conditionalFormatting>
  <conditionalFormatting sqref="H95:H116">
    <cfRule type="expression" dxfId="878" priority="9">
      <formula>H95&gt;0</formula>
    </cfRule>
    <cfRule type="expression" dxfId="877" priority="10">
      <formula>H95&lt;0</formula>
    </cfRule>
  </conditionalFormatting>
  <conditionalFormatting sqref="Q10">
    <cfRule type="expression" dxfId="876" priority="7">
      <formula>Q10&gt;0</formula>
    </cfRule>
    <cfRule type="expression" dxfId="875" priority="8">
      <formula>Q10&lt;0</formula>
    </cfRule>
  </conditionalFormatting>
  <conditionalFormatting sqref="J31:J44">
    <cfRule type="expression" dxfId="874" priority="5">
      <formula>J31&gt;0</formula>
    </cfRule>
    <cfRule type="expression" dxfId="873" priority="6">
      <formula>J31&lt;0</formula>
    </cfRule>
  </conditionalFormatting>
  <conditionalFormatting sqref="K31:K44">
    <cfRule type="expression" dxfId="872" priority="3">
      <formula>K31&gt;0</formula>
    </cfRule>
    <cfRule type="expression" dxfId="871" priority="4">
      <formula>K31&lt;0</formula>
    </cfRule>
  </conditionalFormatting>
  <conditionalFormatting sqref="L31:L44">
    <cfRule type="expression" dxfId="870" priority="1">
      <formula>L31&gt;0</formula>
    </cfRule>
    <cfRule type="expression" dxfId="869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240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52.84</v>
      </c>
      <c r="T3" s="1">
        <v>42621</v>
      </c>
      <c r="U3" s="33" t="s">
        <v>256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52.84</v>
      </c>
      <c r="R4" s="475">
        <v>2.64E-2</v>
      </c>
      <c r="T4" s="1">
        <v>42627</v>
      </c>
      <c r="U4" s="33" t="s">
        <v>256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323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463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517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208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207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58.124000000000009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57.595600000000005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57.067200000000007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56.538800000000009</v>
      </c>
      <c r="Q28" s="2"/>
    </row>
    <row r="29" spans="1:32" x14ac:dyDescent="0.25">
      <c r="A29" s="10" t="s">
        <v>709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497</v>
      </c>
      <c r="K29" s="220" t="s">
        <v>465</v>
      </c>
      <c r="L29" s="220" t="s">
        <v>669</v>
      </c>
      <c r="M29" s="4"/>
      <c r="N29" s="4"/>
      <c r="O29" s="81">
        <v>1.06</v>
      </c>
      <c r="P29" s="81">
        <f t="shared" si="0"/>
        <v>56.010400000000004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55.482000000000006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54.953600000000009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54.425200000000004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53.896800000000006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53.368400000000001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52.84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52.311600000000006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51.783200000000001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51.254800000000003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50.726399999999998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50.198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49.669600000000003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49.141200000000005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48.612800000000007</v>
      </c>
    </row>
    <row r="44" spans="1:32" x14ac:dyDescent="0.25">
      <c r="N44" s="4"/>
      <c r="O44" s="81">
        <v>0.91</v>
      </c>
      <c r="P44" s="81">
        <f t="shared" si="0"/>
        <v>48.084400000000002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47.556000000000004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288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228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261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289</v>
      </c>
      <c r="J168" s="578" t="s">
        <v>287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299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299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299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299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497</v>
      </c>
      <c r="K200" s="220" t="s">
        <v>465</v>
      </c>
      <c r="L200" s="220" t="s">
        <v>669</v>
      </c>
      <c r="M200" s="4"/>
    </row>
    <row r="201" spans="1:17" x14ac:dyDescent="0.25">
      <c r="A201" s="362" t="s">
        <v>343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350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351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352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373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388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413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418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431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431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449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254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310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8" priority="137">
      <formula>F30&gt;0</formula>
    </cfRule>
    <cfRule type="expression" dxfId="867" priority="138">
      <formula>F30&lt;0</formula>
    </cfRule>
  </conditionalFormatting>
  <conditionalFormatting sqref="H47:H58">
    <cfRule type="expression" dxfId="866" priority="129">
      <formula>H47&gt;0</formula>
    </cfRule>
    <cfRule type="expression" dxfId="865" priority="130">
      <formula>H47&lt;0</formula>
    </cfRule>
  </conditionalFormatting>
  <conditionalFormatting sqref="H59">
    <cfRule type="expression" dxfId="864" priority="119">
      <formula>H59&gt;0</formula>
    </cfRule>
    <cfRule type="expression" dxfId="863" priority="120">
      <formula>H59&lt;0</formula>
    </cfRule>
  </conditionalFormatting>
  <conditionalFormatting sqref="H60">
    <cfRule type="expression" dxfId="862" priority="115">
      <formula>H60&gt;0</formula>
    </cfRule>
    <cfRule type="expression" dxfId="861" priority="116">
      <formula>H60&lt;0</formula>
    </cfRule>
  </conditionalFormatting>
  <conditionalFormatting sqref="H61:H66">
    <cfRule type="expression" dxfId="860" priority="111">
      <formula>H61&gt;0</formula>
    </cfRule>
    <cfRule type="expression" dxfId="859" priority="112">
      <formula>H61&lt;0</formula>
    </cfRule>
  </conditionalFormatting>
  <conditionalFormatting sqref="Q8">
    <cfRule type="expression" dxfId="858" priority="95">
      <formula>Q8&gt;0</formula>
    </cfRule>
    <cfRule type="expression" dxfId="857" priority="96">
      <formula>Q8&lt;0</formula>
    </cfRule>
  </conditionalFormatting>
  <conditionalFormatting sqref="Q7">
    <cfRule type="expression" dxfId="856" priority="97">
      <formula>Q7&gt;0</formula>
    </cfRule>
    <cfRule type="expression" dxfId="855" priority="98">
      <formula>Q7&lt;0</formula>
    </cfRule>
  </conditionalFormatting>
  <conditionalFormatting sqref="F178 H178">
    <cfRule type="expression" dxfId="854" priority="93">
      <formula>F178&gt;0</formula>
    </cfRule>
    <cfRule type="expression" dxfId="853" priority="94">
      <formula>F178&lt;0</formula>
    </cfRule>
  </conditionalFormatting>
  <conditionalFormatting sqref="Q10">
    <cfRule type="expression" dxfId="852" priority="87">
      <formula>Q10&gt;0</formula>
    </cfRule>
    <cfRule type="expression" dxfId="851" priority="88">
      <formula>Q10&lt;0</formula>
    </cfRule>
  </conditionalFormatting>
  <conditionalFormatting sqref="Q9">
    <cfRule type="expression" dxfId="850" priority="81">
      <formula>Q9&gt;0</formula>
    </cfRule>
    <cfRule type="expression" dxfId="849" priority="82">
      <formula>Q9&lt;0</formula>
    </cfRule>
  </conditionalFormatting>
  <conditionalFormatting sqref="F201:F248">
    <cfRule type="expression" dxfId="848" priority="41">
      <formula>F201&gt;0</formula>
    </cfRule>
    <cfRule type="expression" dxfId="847" priority="42">
      <formula>F201&lt;0</formula>
    </cfRule>
  </conditionalFormatting>
  <conditionalFormatting sqref="H201:H248">
    <cfRule type="expression" dxfId="846" priority="39">
      <formula>H201&gt;0</formula>
    </cfRule>
    <cfRule type="expression" dxfId="845" priority="40">
      <formula>H201&lt;0</formula>
    </cfRule>
  </conditionalFormatting>
  <conditionalFormatting sqref="J208">
    <cfRule type="expression" dxfId="844" priority="37">
      <formula>J208&gt;0</formula>
    </cfRule>
    <cfRule type="expression" dxfId="843" priority="38">
      <formula>J208&lt;0</formula>
    </cfRule>
  </conditionalFormatting>
  <conditionalFormatting sqref="J214:J215">
    <cfRule type="expression" dxfId="842" priority="35">
      <formula>J214&gt;0</formula>
    </cfRule>
    <cfRule type="expression" dxfId="841" priority="36">
      <formula>J214&lt;0</formula>
    </cfRule>
  </conditionalFormatting>
  <conditionalFormatting sqref="J216">
    <cfRule type="expression" dxfId="840" priority="33">
      <formula>J216&gt;0</formula>
    </cfRule>
    <cfRule type="expression" dxfId="839" priority="34">
      <formula>J216&lt;0</formula>
    </cfRule>
  </conditionalFormatting>
  <conditionalFormatting sqref="J217:J219 J221:J224">
    <cfRule type="expression" dxfId="838" priority="31">
      <formula>J217&gt;0</formula>
    </cfRule>
    <cfRule type="expression" dxfId="837" priority="32">
      <formula>J217&lt;0</formula>
    </cfRule>
  </conditionalFormatting>
  <conditionalFormatting sqref="K208">
    <cfRule type="expression" dxfId="836" priority="29">
      <formula>K208&gt;0</formula>
    </cfRule>
    <cfRule type="expression" dxfId="835" priority="30">
      <formula>K208&lt;0</formula>
    </cfRule>
  </conditionalFormatting>
  <conditionalFormatting sqref="K214:K215">
    <cfRule type="expression" dxfId="834" priority="27">
      <formula>K214&gt;0</formula>
    </cfRule>
    <cfRule type="expression" dxfId="833" priority="28">
      <formula>K214&lt;0</formula>
    </cfRule>
  </conditionalFormatting>
  <conditionalFormatting sqref="K216">
    <cfRule type="expression" dxfId="832" priority="25">
      <formula>K216&gt;0</formula>
    </cfRule>
    <cfRule type="expression" dxfId="831" priority="26">
      <formula>K216&lt;0</formula>
    </cfRule>
  </conditionalFormatting>
  <conditionalFormatting sqref="K217:K224">
    <cfRule type="expression" dxfId="830" priority="23">
      <formula>K217&gt;0</formula>
    </cfRule>
    <cfRule type="expression" dxfId="829" priority="24">
      <formula>K217&lt;0</formula>
    </cfRule>
  </conditionalFormatting>
  <conditionalFormatting sqref="L208">
    <cfRule type="expression" dxfId="828" priority="21">
      <formula>L208&gt;0</formula>
    </cfRule>
    <cfRule type="expression" dxfId="827" priority="22">
      <formula>L208&lt;0</formula>
    </cfRule>
  </conditionalFormatting>
  <conditionalFormatting sqref="L214:L215">
    <cfRule type="expression" dxfId="826" priority="19">
      <formula>L214&gt;0</formula>
    </cfRule>
    <cfRule type="expression" dxfId="825" priority="20">
      <formula>L214&lt;0</formula>
    </cfRule>
  </conditionalFormatting>
  <conditionalFormatting sqref="L216">
    <cfRule type="expression" dxfId="824" priority="17">
      <formula>L216&gt;0</formula>
    </cfRule>
    <cfRule type="expression" dxfId="823" priority="18">
      <formula>L216&lt;0</formula>
    </cfRule>
  </conditionalFormatting>
  <conditionalFormatting sqref="L217:L224">
    <cfRule type="expression" dxfId="822" priority="15">
      <formula>L217&gt;0</formula>
    </cfRule>
    <cfRule type="expression" dxfId="821" priority="16">
      <formula>L217&lt;0</formula>
    </cfRule>
  </conditionalFormatting>
  <conditionalFormatting sqref="K225">
    <cfRule type="expression" dxfId="820" priority="13">
      <formula>K225&gt;0</formula>
    </cfRule>
    <cfRule type="expression" dxfId="819" priority="14">
      <formula>K225&lt;0</formula>
    </cfRule>
  </conditionalFormatting>
  <conditionalFormatting sqref="L225:L232">
    <cfRule type="expression" dxfId="818" priority="11">
      <formula>L225&gt;0</formula>
    </cfRule>
    <cfRule type="expression" dxfId="817" priority="12">
      <formula>L225&lt;0</formula>
    </cfRule>
  </conditionalFormatting>
  <conditionalFormatting sqref="K226">
    <cfRule type="expression" dxfId="816" priority="9">
      <formula>K226&gt;0</formula>
    </cfRule>
    <cfRule type="expression" dxfId="815" priority="10">
      <formula>K226&lt;0</formula>
    </cfRule>
  </conditionalFormatting>
  <conditionalFormatting sqref="K227">
    <cfRule type="expression" dxfId="814" priority="7">
      <formula>K227&gt;0</formula>
    </cfRule>
    <cfRule type="expression" dxfId="813" priority="8">
      <formula>K227&lt;0</formula>
    </cfRule>
  </conditionalFormatting>
  <conditionalFormatting sqref="K228:K248">
    <cfRule type="expression" dxfId="812" priority="5">
      <formula>K228&gt;0</formula>
    </cfRule>
    <cfRule type="expression" dxfId="811" priority="6">
      <formula>K228&lt;0</formula>
    </cfRule>
  </conditionalFormatting>
  <conditionalFormatting sqref="L233:L237">
    <cfRule type="expression" dxfId="810" priority="3">
      <formula>L233&gt;0</formula>
    </cfRule>
    <cfRule type="expression" dxfId="809" priority="4">
      <formula>L233&lt;0</formula>
    </cfRule>
  </conditionalFormatting>
  <conditionalFormatting sqref="L238:L243">
    <cfRule type="expression" dxfId="808" priority="1">
      <formula>L238&gt;0</formula>
    </cfRule>
    <cfRule type="expression" dxfId="80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52.19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52.19</v>
      </c>
      <c r="R4" s="490">
        <v>1.12E-2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208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207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207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57.408999999999999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56.887100000000004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56.365200000000002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55.843299999999999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55.321399999999997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54.799500000000002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54.2776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53.755699999999997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53.233799999999995</v>
      </c>
      <c r="Q49" s="2"/>
      <c r="T49" s="85" t="s">
        <v>103</v>
      </c>
      <c r="U49" s="87" t="s">
        <v>391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52.7119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52.19</v>
      </c>
      <c r="Q51" s="2"/>
      <c r="T51" s="85" t="s">
        <v>104</v>
      </c>
      <c r="U51" s="86" t="s">
        <v>601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51.668099999999995</v>
      </c>
      <c r="Q52" s="2"/>
      <c r="T52" s="85" t="s">
        <v>105</v>
      </c>
      <c r="U52" s="86" t="s">
        <v>499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51.1462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50.624299999999998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50.102399999999996</v>
      </c>
      <c r="T55" s="85" t="s">
        <v>107</v>
      </c>
      <c r="U55" s="86" t="s">
        <v>602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49.580499999999994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49.058599999999998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48.536700000000003</v>
      </c>
      <c r="T58" s="85" t="s">
        <v>108</v>
      </c>
      <c r="U58" s="86" t="s">
        <v>540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48.014800000000001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47.492899999999999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46.970999999999997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6" priority="11">
      <formula>F27&gt;0</formula>
    </cfRule>
    <cfRule type="expression" dxfId="805" priority="12">
      <formula>F27&lt;0</formula>
    </cfRule>
  </conditionalFormatting>
  <conditionalFormatting sqref="H27:H29">
    <cfRule type="expression" dxfId="804" priority="9">
      <formula>H27&gt;0</formula>
    </cfRule>
    <cfRule type="expression" dxfId="803" priority="10">
      <formula>H27&lt;0</formula>
    </cfRule>
  </conditionalFormatting>
  <conditionalFormatting sqref="F23:F26">
    <cfRule type="expression" dxfId="802" priority="7">
      <formula>F23&gt;0</formula>
    </cfRule>
    <cfRule type="expression" dxfId="801" priority="8">
      <formula>F23&lt;0</formula>
    </cfRule>
  </conditionalFormatting>
  <conditionalFormatting sqref="H23:H26">
    <cfRule type="expression" dxfId="800" priority="5">
      <formula>H23&gt;0</formula>
    </cfRule>
    <cfRule type="expression" dxfId="799" priority="6">
      <formula>H23&lt;0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50.75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50.75</v>
      </c>
      <c r="R4" s="490">
        <v>2.5899999999999999E-2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208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207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207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55.825000000000003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55.317500000000003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54.81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54.302500000000002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53.795000000000002</v>
      </c>
      <c r="Q45" s="2"/>
      <c r="T45" s="85" t="s">
        <v>99</v>
      </c>
      <c r="U45" s="86" t="s">
        <v>603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53.287500000000001</v>
      </c>
      <c r="Q46" s="2"/>
      <c r="T46" s="85" t="s">
        <v>100</v>
      </c>
      <c r="U46" s="86" t="s">
        <v>604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52.78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52.272500000000001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51.765000000000001</v>
      </c>
      <c r="Q49" s="2"/>
      <c r="T49" s="85" t="s">
        <v>103</v>
      </c>
      <c r="U49" s="87" t="s">
        <v>423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51.2575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50.75</v>
      </c>
      <c r="Q51" s="2"/>
      <c r="T51" s="85" t="s">
        <v>104</v>
      </c>
      <c r="U51" s="86" t="s">
        <v>605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50.2425</v>
      </c>
      <c r="Q52" s="2"/>
      <c r="T52" s="85" t="s">
        <v>105</v>
      </c>
      <c r="U52" s="86" t="s">
        <v>507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49.734999999999999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49.227499999999999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48.72</v>
      </c>
      <c r="T55" s="85" t="s">
        <v>107</v>
      </c>
      <c r="U55" s="86" t="s">
        <v>606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48.212499999999999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47.704999999999998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47.197500000000005</v>
      </c>
      <c r="T58" s="85" t="s">
        <v>108</v>
      </c>
      <c r="U58" s="86" t="s">
        <v>541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46.690000000000005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46.182500000000005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45.675000000000004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4" priority="7">
      <formula>F21&gt;0</formula>
    </cfRule>
    <cfRule type="expression" dxfId="793" priority="8">
      <formula>F21&lt;0</formula>
    </cfRule>
  </conditionalFormatting>
  <conditionalFormatting sqref="F22">
    <cfRule type="expression" dxfId="792" priority="5">
      <formula>F22&gt;0</formula>
    </cfRule>
    <cfRule type="expression" dxfId="791" priority="6">
      <formula>F22&lt;0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66.38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66.38</v>
      </c>
      <c r="R4" s="475">
        <v>6.4000000000000003E-3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208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207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73.018000000000001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72.354200000000006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71.690399999999997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71.026600000000002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70.362799999999993</v>
      </c>
      <c r="Q49" s="2"/>
      <c r="R49" s="33"/>
      <c r="T49" s="106" t="s">
        <v>121</v>
      </c>
      <c r="U49" s="104" t="s">
        <v>371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69.698999999999998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69.035200000000003</v>
      </c>
      <c r="Q51" s="2"/>
      <c r="R51" s="33"/>
      <c r="T51" s="106" t="s">
        <v>104</v>
      </c>
      <c r="U51" s="104" t="s">
        <v>607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68.371399999999994</v>
      </c>
      <c r="Q52" s="2"/>
      <c r="R52" s="33"/>
      <c r="T52" s="106" t="s">
        <v>105</v>
      </c>
      <c r="U52" s="104" t="s">
        <v>523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67.707599999999999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67.04379999999999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66.38</v>
      </c>
      <c r="Q55" s="2"/>
      <c r="R55" s="33"/>
      <c r="T55" s="106" t="s">
        <v>107</v>
      </c>
      <c r="U55" s="104" t="s">
        <v>608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65.716200000000001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65.052399999999992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64.388599999999997</v>
      </c>
      <c r="Q58" s="2"/>
      <c r="R58" s="33"/>
      <c r="T58" s="106" t="s">
        <v>108</v>
      </c>
      <c r="U58" s="104" t="s">
        <v>542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63.724799999999995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63.060999999999993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62.397199999999991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61.733399999999996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61.069600000000001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60.405799999999999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59.741999999999997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207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6" priority="17">
      <formula>F38&gt;0</formula>
    </cfRule>
    <cfRule type="expression" dxfId="785" priority="18">
      <formula>F38&lt;0</formula>
    </cfRule>
  </conditionalFormatting>
  <conditionalFormatting sqref="H38:H72">
    <cfRule type="expression" dxfId="784" priority="9">
      <formula>H38&gt;0</formula>
    </cfRule>
    <cfRule type="expression" dxfId="783" priority="10">
      <formula>H38&lt;0</formula>
    </cfRule>
  </conditionalFormatting>
  <conditionalFormatting sqref="F21:F37">
    <cfRule type="expression" dxfId="782" priority="7">
      <formula>F21&gt;0</formula>
    </cfRule>
    <cfRule type="expression" dxfId="781" priority="8">
      <formula>F21&lt;0</formula>
    </cfRule>
  </conditionalFormatting>
  <conditionalFormatting sqref="H21:H37">
    <cfRule type="expression" dxfId="780" priority="5">
      <formula>H21&gt;0</formula>
    </cfRule>
    <cfRule type="expression" dxfId="779" priority="6">
      <formula>H21&lt;0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142.25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142.25</v>
      </c>
      <c r="R4" s="490">
        <v>8.6E-3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207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156.47500000000002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155.05250000000001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153.63000000000002</v>
      </c>
      <c r="Q49" s="33"/>
      <c r="R49"/>
      <c r="T49" s="85" t="s">
        <v>103</v>
      </c>
      <c r="U49" s="92" t="s">
        <v>609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152.20750000000001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150.785</v>
      </c>
      <c r="Q51" s="81"/>
      <c r="R51"/>
      <c r="T51" s="85" t="s">
        <v>104</v>
      </c>
      <c r="U51" s="127" t="s">
        <v>610</v>
      </c>
    </row>
    <row r="52" spans="1:21" x14ac:dyDescent="0.25">
      <c r="O52" s="81">
        <v>1.05</v>
      </c>
      <c r="P52" s="81">
        <f t="shared" si="1"/>
        <v>149.36250000000001</v>
      </c>
      <c r="Q52" s="81"/>
      <c r="R52"/>
      <c r="T52" s="85" t="s">
        <v>105</v>
      </c>
      <c r="U52" s="127" t="s">
        <v>501</v>
      </c>
    </row>
    <row r="53" spans="1:21" x14ac:dyDescent="0.25">
      <c r="O53" s="81">
        <v>1.04</v>
      </c>
      <c r="P53" s="81">
        <f t="shared" si="1"/>
        <v>147.94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146.51750000000001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145.095</v>
      </c>
      <c r="Q55" s="81"/>
      <c r="R55"/>
      <c r="T55" s="85" t="s">
        <v>107</v>
      </c>
      <c r="U55" s="127" t="s">
        <v>611</v>
      </c>
    </row>
    <row r="56" spans="1:21" x14ac:dyDescent="0.25">
      <c r="O56" s="81">
        <v>1.01</v>
      </c>
      <c r="P56" s="81">
        <f t="shared" si="1"/>
        <v>143.67250000000001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142.25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140.82749999999999</v>
      </c>
      <c r="Q58" s="81"/>
      <c r="R58"/>
      <c r="T58" s="85" t="s">
        <v>108</v>
      </c>
      <c r="U58" s="127" t="s">
        <v>543</v>
      </c>
    </row>
    <row r="59" spans="1:21" x14ac:dyDescent="0.25">
      <c r="O59" s="81">
        <v>0.98</v>
      </c>
      <c r="P59" s="81">
        <f t="shared" si="1"/>
        <v>139.405</v>
      </c>
      <c r="Q59" s="81"/>
      <c r="R59"/>
    </row>
    <row r="60" spans="1:21" x14ac:dyDescent="0.25">
      <c r="O60" s="81">
        <v>0.97</v>
      </c>
      <c r="P60" s="81">
        <f t="shared" si="1"/>
        <v>137.98249999999999</v>
      </c>
      <c r="Q60" s="81"/>
      <c r="R60"/>
    </row>
    <row r="61" spans="1:21" x14ac:dyDescent="0.25">
      <c r="O61" s="81">
        <v>0.96</v>
      </c>
      <c r="P61" s="81">
        <f t="shared" si="1"/>
        <v>136.56</v>
      </c>
      <c r="Q61" s="81"/>
      <c r="R61"/>
    </row>
    <row r="62" spans="1:21" x14ac:dyDescent="0.25">
      <c r="O62" s="81">
        <v>0.95</v>
      </c>
      <c r="P62" s="81">
        <f t="shared" si="1"/>
        <v>135.13749999999999</v>
      </c>
      <c r="Q62" s="81"/>
      <c r="R62"/>
    </row>
    <row r="63" spans="1:21" x14ac:dyDescent="0.25">
      <c r="O63" s="81">
        <v>0.94</v>
      </c>
      <c r="P63" s="81">
        <f t="shared" si="1"/>
        <v>133.715</v>
      </c>
      <c r="Q63" s="81"/>
      <c r="R63"/>
      <c r="T63" s="84"/>
    </row>
    <row r="64" spans="1:21" x14ac:dyDescent="0.25">
      <c r="O64" s="81">
        <v>0.93</v>
      </c>
      <c r="P64" s="81">
        <f t="shared" si="1"/>
        <v>132.29250000000002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130.87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129.44749999999999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128.02500000000001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4" priority="11">
      <formula>F24&gt;0</formula>
    </cfRule>
    <cfRule type="expression" dxfId="773" priority="12">
      <formula>F24&lt;0</formula>
    </cfRule>
  </conditionalFormatting>
  <conditionalFormatting sqref="H27:H30">
    <cfRule type="expression" dxfId="772" priority="9">
      <formula>H27&gt;0</formula>
    </cfRule>
    <cfRule type="expression" dxfId="771" priority="10">
      <formula>H27&lt;0</formula>
    </cfRule>
  </conditionalFormatting>
  <conditionalFormatting sqref="F25">
    <cfRule type="expression" dxfId="770" priority="7">
      <formula>F25&gt;0</formula>
    </cfRule>
    <cfRule type="expression" dxfId="769" priority="8">
      <formula>F25&lt;0</formula>
    </cfRule>
  </conditionalFormatting>
  <conditionalFormatting sqref="H24:H26">
    <cfRule type="expression" dxfId="768" priority="5">
      <formula>H24&gt;0</formula>
    </cfRule>
    <cfRule type="expression" dxfId="767" priority="6">
      <formula>H24&lt;0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46.62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46.62</v>
      </c>
      <c r="R4" s="491">
        <v>-5.9999999999999995E-4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207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207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267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51.282000000000004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50.815800000000003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50.349600000000002</v>
      </c>
      <c r="R42" s="33"/>
      <c r="T42" s="85" t="s">
        <v>99</v>
      </c>
      <c r="U42" s="127" t="s">
        <v>612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49.883400000000002</v>
      </c>
      <c r="R43" s="81"/>
      <c r="T43" s="85" t="s">
        <v>100</v>
      </c>
      <c r="U43" s="127" t="s">
        <v>613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49.417200000000001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48.951000000000001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48.4848</v>
      </c>
      <c r="R46" s="81"/>
      <c r="T46" s="85" t="s">
        <v>121</v>
      </c>
      <c r="U46" s="223" t="s">
        <v>420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48.018599999999999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47.552399999999999</v>
      </c>
      <c r="R48" s="81"/>
      <c r="T48" s="85" t="s">
        <v>104</v>
      </c>
      <c r="U48" s="127" t="s">
        <v>614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47.086199999999998</v>
      </c>
      <c r="R49" s="81"/>
      <c r="T49" s="85" t="s">
        <v>105</v>
      </c>
      <c r="U49" s="127" t="s">
        <v>544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46.62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46.153799999999997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45.687599999999996</v>
      </c>
      <c r="R52" s="81"/>
      <c r="T52" s="85" t="s">
        <v>107</v>
      </c>
      <c r="U52" s="127" t="s">
        <v>615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45.221399999999996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44.755199999999995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44.288999999999994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43.822799999999994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43.3566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42.8904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42.424199999999999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41.957999999999998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2" priority="17">
      <formula>F28&gt;0</formula>
    </cfRule>
    <cfRule type="expression" dxfId="761" priority="18">
      <formula>F28&lt;0</formula>
    </cfRule>
  </conditionalFormatting>
  <conditionalFormatting sqref="F28 F33:F35">
    <cfRule type="expression" dxfId="760" priority="19">
      <formula>F28&gt;0</formula>
    </cfRule>
    <cfRule type="expression" dxfId="759" priority="20">
      <formula>F28&lt;0</formula>
    </cfRule>
  </conditionalFormatting>
  <conditionalFormatting sqref="H28 H33:H35">
    <cfRule type="expression" dxfId="758" priority="15">
      <formula>H28&gt;0</formula>
    </cfRule>
    <cfRule type="expression" dxfId="757" priority="16">
      <formula>H28&lt;0</formula>
    </cfRule>
  </conditionalFormatting>
  <conditionalFormatting sqref="F21:F27">
    <cfRule type="expression" dxfId="756" priority="13">
      <formula>F21&gt;0</formula>
    </cfRule>
    <cfRule type="expression" dxfId="755" priority="14">
      <formula>F21&lt;0</formula>
    </cfRule>
  </conditionalFormatting>
  <conditionalFormatting sqref="H21:H27">
    <cfRule type="expression" dxfId="754" priority="11">
      <formula>H21&gt;0</formula>
    </cfRule>
    <cfRule type="expression" dxfId="753" priority="12">
      <formula>H21&lt;0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7">
    <cfRule type="expression" dxfId="750" priority="9">
      <formula>Q7&gt;0</formula>
    </cfRule>
    <cfRule type="expression" dxfId="749" priority="10">
      <formula>Q7&lt;0</formula>
    </cfRule>
  </conditionalFormatting>
  <conditionalFormatting sqref="F29:F32">
    <cfRule type="expression" dxfId="748" priority="5">
      <formula>F29&gt;0</formula>
    </cfRule>
    <cfRule type="expression" dxfId="747" priority="6">
      <formula>F29&lt;0</formula>
    </cfRule>
  </conditionalFormatting>
  <conditionalFormatting sqref="H29:H32">
    <cfRule type="expression" dxfId="746" priority="3">
      <formula>H29&gt;0</formula>
    </cfRule>
    <cfRule type="expression" dxfId="745" priority="4">
      <formula>H29&lt;0</formula>
    </cfRule>
  </conditionalFormatting>
  <conditionalFormatting sqref="M37">
    <cfRule type="expression" dxfId="744" priority="1">
      <formula>M37&gt;0</formula>
    </cfRule>
    <cfRule type="expression" dxfId="74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1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273.11009999999999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273.11009999999999</v>
      </c>
      <c r="R4" s="475">
        <v>8.2000000000000007E-3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1"/>
        <v>4097.6499999999996</v>
      </c>
      <c r="O9" s="11" t="s">
        <v>208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1"/>
        <v>5454.7300000000005</v>
      </c>
      <c r="O10" s="11" t="s">
        <v>207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973</v>
      </c>
      <c r="Q13" s="2">
        <f>Q4/13</f>
        <v>21.008469230769229</v>
      </c>
      <c r="R13" s="22" t="s">
        <v>978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300.42111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3">SumByColor($A$19,F2:F17)</f>
        <v>35382</v>
      </c>
      <c r="G19" s="344"/>
      <c r="H19" s="344">
        <f t="shared" si="3"/>
        <v>135</v>
      </c>
      <c r="I19" s="344"/>
      <c r="J19" s="344"/>
      <c r="K19" s="344">
        <f t="shared" si="3"/>
        <v>36202</v>
      </c>
      <c r="L19" s="344"/>
      <c r="M19" s="344">
        <f t="shared" si="3"/>
        <v>55</v>
      </c>
      <c r="P19" s="81">
        <v>1.0900000000000001</v>
      </c>
      <c r="Q19" s="81">
        <f t="shared" ref="Q19:Q38" si="4">P19*$Q$4</f>
        <v>297.69000900000003</v>
      </c>
      <c r="R19" s="81"/>
      <c r="AA19" s="225"/>
      <c r="AD19" s="225"/>
    </row>
    <row r="20" spans="1:30" x14ac:dyDescent="0.25">
      <c r="P20" s="81">
        <v>1.08</v>
      </c>
      <c r="Q20" s="81">
        <f t="shared" si="4"/>
        <v>294.95890800000001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4"/>
        <v>292.22780699999998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5">C22*(E22-D22)</f>
        <v>-68.250000000000455</v>
      </c>
      <c r="G22" s="39">
        <f t="shared" ref="G22:G27" si="6">D22*C22</f>
        <v>6954.5</v>
      </c>
      <c r="H22" s="222">
        <f t="shared" ref="H22:H27" si="7">(E22-D22)/D22</f>
        <v>-9.8137896326120425E-3</v>
      </c>
      <c r="I22" s="39"/>
      <c r="J22" s="39"/>
      <c r="K22" s="39"/>
      <c r="P22" s="81">
        <v>1.06</v>
      </c>
      <c r="Q22" s="81">
        <f t="shared" si="4"/>
        <v>289.49670600000002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5"/>
        <v>-286.75000000000068</v>
      </c>
      <c r="G23" s="39">
        <f t="shared" si="6"/>
        <v>13483.250000000002</v>
      </c>
      <c r="H23" s="222">
        <f t="shared" si="7"/>
        <v>-2.1267127732557109E-2</v>
      </c>
      <c r="I23" s="39"/>
      <c r="J23" s="39"/>
      <c r="K23" s="39"/>
      <c r="P23" s="81">
        <v>1.05</v>
      </c>
      <c r="Q23" s="81">
        <f t="shared" si="4"/>
        <v>286.76560499999999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5"/>
        <v>-210.90000000000089</v>
      </c>
      <c r="G24" s="39">
        <f t="shared" si="6"/>
        <v>19823.400000000001</v>
      </c>
      <c r="H24" s="222">
        <f t="shared" si="7"/>
        <v>-1.0638941856593767E-2</v>
      </c>
      <c r="I24" s="39"/>
      <c r="J24" s="39"/>
      <c r="K24" s="39"/>
      <c r="P24" s="81">
        <v>1.04</v>
      </c>
      <c r="Q24" s="81">
        <f t="shared" si="4"/>
        <v>284.03450399999997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5"/>
        <v>-180.89999999999975</v>
      </c>
      <c r="G25" s="39">
        <f t="shared" si="6"/>
        <v>13255.9</v>
      </c>
      <c r="H25" s="222">
        <f t="shared" si="7"/>
        <v>-1.3646753521073616E-2</v>
      </c>
      <c r="I25" s="39"/>
      <c r="J25" s="39"/>
      <c r="K25" s="39"/>
      <c r="P25" s="81">
        <v>1.03</v>
      </c>
      <c r="Q25" s="81">
        <f t="shared" si="4"/>
        <v>281.303403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5"/>
        <v>268.6000000000007</v>
      </c>
      <c r="G26" s="39">
        <f t="shared" si="6"/>
        <v>13255.9</v>
      </c>
      <c r="H26" s="222">
        <f t="shared" si="7"/>
        <v>2.0262675487896009E-2</v>
      </c>
      <c r="I26" s="39"/>
      <c r="J26" s="39"/>
      <c r="K26" s="39"/>
      <c r="P26" s="81">
        <v>1.02</v>
      </c>
      <c r="Q26" s="81">
        <f t="shared" si="4"/>
        <v>278.57230199999998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5"/>
        <v>-61.499999999998636</v>
      </c>
      <c r="G27" s="39">
        <f t="shared" si="6"/>
        <v>15881.699999999999</v>
      </c>
      <c r="H27" s="222">
        <f t="shared" si="7"/>
        <v>-3.8723814201249637E-3</v>
      </c>
      <c r="I27" s="39"/>
      <c r="J27" s="39"/>
      <c r="K27" s="39"/>
      <c r="P27" s="81">
        <v>1.01</v>
      </c>
      <c r="Q27" s="81">
        <f t="shared" si="4"/>
        <v>275.84120100000001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8">C28*(E28-D28)</f>
        <v>-245.69999999999823</v>
      </c>
      <c r="G28" s="39">
        <f t="shared" ref="G28:G37" si="9">D28*C28</f>
        <v>15881.699999999999</v>
      </c>
      <c r="H28" s="222">
        <f t="shared" ref="H28:H37" si="10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4"/>
        <v>273.11009999999999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8"/>
        <v>-402.14999999999748</v>
      </c>
      <c r="G29" s="39">
        <f t="shared" si="9"/>
        <v>19712.399999999998</v>
      </c>
      <c r="H29" s="222">
        <f t="shared" si="10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4"/>
        <v>270.37899899999996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8"/>
        <v>63.779999999999291</v>
      </c>
      <c r="G30" s="39">
        <f t="shared" si="9"/>
        <v>15749.820000000002</v>
      </c>
      <c r="H30" s="222">
        <f t="shared" si="10"/>
        <v>4.0495700903247969E-3</v>
      </c>
      <c r="I30" s="39"/>
      <c r="J30" s="39">
        <v>225</v>
      </c>
      <c r="K30" s="39"/>
      <c r="P30" s="81">
        <v>0.98</v>
      </c>
      <c r="Q30" s="81">
        <f t="shared" si="4"/>
        <v>267.647898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8"/>
        <v>-174.97500000000201</v>
      </c>
      <c r="G31" s="39">
        <f t="shared" si="9"/>
        <v>19643.475000000002</v>
      </c>
      <c r="H31" s="222">
        <f t="shared" si="10"/>
        <v>-8.9075379992593975E-3</v>
      </c>
      <c r="I31" s="39"/>
      <c r="J31" s="39"/>
      <c r="K31" s="39"/>
      <c r="P31" s="81">
        <v>0.97</v>
      </c>
      <c r="Q31" s="81">
        <f t="shared" si="4"/>
        <v>264.91679699999997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8"/>
        <v>-19.379999999998745</v>
      </c>
      <c r="G32" s="39">
        <f t="shared" si="9"/>
        <v>15679.38</v>
      </c>
      <c r="H32" s="222">
        <f t="shared" si="10"/>
        <v>-1.2360182609260535E-3</v>
      </c>
      <c r="I32" s="39"/>
      <c r="J32" s="39">
        <v>141</v>
      </c>
      <c r="K32" s="39"/>
      <c r="P32" s="81">
        <v>0.96</v>
      </c>
      <c r="Q32" s="81">
        <f t="shared" si="4"/>
        <v>262.18569600000001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8"/>
        <v>234.85000000000014</v>
      </c>
      <c r="G33" s="39">
        <f t="shared" si="9"/>
        <v>13022.649999999998</v>
      </c>
      <c r="H33" s="222">
        <f t="shared" si="10"/>
        <v>1.8033963901356496E-2</v>
      </c>
      <c r="I33" s="39"/>
      <c r="J33" s="39">
        <v>396</v>
      </c>
      <c r="K33" s="39"/>
      <c r="P33" s="81">
        <v>0.95</v>
      </c>
      <c r="Q33" s="81">
        <f t="shared" si="4"/>
        <v>259.45459499999998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8"/>
        <v>347.20000000000027</v>
      </c>
      <c r="G34" s="39">
        <f t="shared" si="9"/>
        <v>10346</v>
      </c>
      <c r="H34" s="222">
        <f t="shared" si="10"/>
        <v>3.3558863328822762E-2</v>
      </c>
      <c r="I34" s="39"/>
      <c r="J34" s="39">
        <v>508</v>
      </c>
      <c r="K34" s="39"/>
      <c r="P34" s="81">
        <v>0.94</v>
      </c>
      <c r="Q34" s="81">
        <f t="shared" si="4"/>
        <v>256.72349399999996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8"/>
        <v>190.20000000000152</v>
      </c>
      <c r="G35" s="39">
        <f t="shared" si="9"/>
        <v>12958.8</v>
      </c>
      <c r="H35" s="222">
        <f t="shared" si="10"/>
        <v>1.4677284933790283E-2</v>
      </c>
      <c r="I35" s="39"/>
      <c r="J35" s="39">
        <v>351</v>
      </c>
      <c r="K35" s="39"/>
      <c r="P35" s="81">
        <v>0.93</v>
      </c>
      <c r="Q35" s="81">
        <f t="shared" si="4"/>
        <v>253.99239299999999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8"/>
        <v>345.05000000000052</v>
      </c>
      <c r="G36" s="39">
        <f t="shared" si="9"/>
        <v>12903.95</v>
      </c>
      <c r="H36" s="222">
        <f t="shared" si="10"/>
        <v>2.6739874224559187E-2</v>
      </c>
      <c r="I36" s="39"/>
      <c r="J36" s="39">
        <v>505.87</v>
      </c>
      <c r="K36" s="39"/>
      <c r="P36" s="81">
        <v>0.92</v>
      </c>
      <c r="Q36" s="81">
        <f t="shared" si="4"/>
        <v>251.261292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8"/>
        <v>257.45999999999981</v>
      </c>
      <c r="G37" s="39">
        <f t="shared" si="9"/>
        <v>15499.74</v>
      </c>
      <c r="H37" s="222">
        <f t="shared" si="10"/>
        <v>1.6610601210084803E-2</v>
      </c>
      <c r="I37" s="39"/>
      <c r="J37" s="39">
        <v>418</v>
      </c>
      <c r="K37" s="39"/>
      <c r="P37" s="81">
        <v>0.91</v>
      </c>
      <c r="Q37" s="81">
        <f t="shared" si="4"/>
        <v>248.530191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 t="shared" ref="F38" si="11">C38*(E38-D38)</f>
        <v>526.00000000000193</v>
      </c>
      <c r="G38" s="39">
        <f t="shared" ref="G38" si="12">D38*C38</f>
        <v>12819.999999999998</v>
      </c>
      <c r="H38" s="222">
        <f t="shared" ref="H38" si="13"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4"/>
        <v>245.79909000000001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 t="shared" ref="F39:F41" si="14">C39*(E39-D39)</f>
        <v>792.00000000000159</v>
      </c>
      <c r="G39" s="39">
        <f t="shared" ref="G39:G41" si="15">D39*C39</f>
        <v>12819.999999999998</v>
      </c>
      <c r="H39" s="222">
        <f t="shared" ref="H39:H41" si="16"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 t="shared" si="14"/>
        <v>980.28000000000134</v>
      </c>
      <c r="G40" s="39">
        <f t="shared" si="15"/>
        <v>8678.67</v>
      </c>
      <c r="H40" s="222">
        <f t="shared" si="16"/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 t="shared" si="14"/>
        <v>881.2</v>
      </c>
      <c r="G41" s="39">
        <f t="shared" si="15"/>
        <v>4581</v>
      </c>
      <c r="H41" s="222">
        <f t="shared" si="16"/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207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7">C69*(E69-D69)</f>
        <v>-96.699999999999875</v>
      </c>
      <c r="G69" s="636">
        <f t="shared" ref="G69:G75" si="18">D69*C69</f>
        <v>4791.95</v>
      </c>
      <c r="H69" s="637">
        <f t="shared" ref="H69:H75" si="19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7"/>
        <v>11.749999999999972</v>
      </c>
      <c r="G70" s="636">
        <f t="shared" si="18"/>
        <v>947.6</v>
      </c>
      <c r="H70" s="637">
        <f t="shared" si="19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7"/>
        <v>-8.6199999999996635</v>
      </c>
      <c r="G71" s="636">
        <f t="shared" si="18"/>
        <v>3764.62</v>
      </c>
      <c r="H71" s="637">
        <f t="shared" si="19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7"/>
        <v>-46.870000000000545</v>
      </c>
      <c r="G72" s="636">
        <f t="shared" si="18"/>
        <v>4682.37</v>
      </c>
      <c r="H72" s="637">
        <f t="shared" si="19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7"/>
        <v>56.79000000000002</v>
      </c>
      <c r="G73" s="636">
        <f t="shared" si="18"/>
        <v>2789.91</v>
      </c>
      <c r="H73" s="637">
        <f t="shared" si="19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7"/>
        <v>119.05000000000001</v>
      </c>
      <c r="G74" s="636">
        <f t="shared" si="18"/>
        <v>846.94999999999993</v>
      </c>
      <c r="H74" s="637">
        <f t="shared" si="19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7"/>
        <v>148.05000000000007</v>
      </c>
      <c r="G75" s="636">
        <f t="shared" si="18"/>
        <v>846.94999999999993</v>
      </c>
      <c r="H75" s="637">
        <f t="shared" si="19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2" priority="47">
      <formula>F26&gt;0</formula>
    </cfRule>
    <cfRule type="expression" dxfId="74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0" priority="35">
      <formula>F22&gt;0</formula>
    </cfRule>
    <cfRule type="expression" dxfId="739" priority="36">
      <formula>F22&lt;0</formula>
    </cfRule>
  </conditionalFormatting>
  <conditionalFormatting sqref="H22:H25">
    <cfRule type="expression" dxfId="738" priority="33">
      <formula>H22&gt;0</formula>
    </cfRule>
    <cfRule type="expression" dxfId="737" priority="34">
      <formula>H22&lt;0</formula>
    </cfRule>
  </conditionalFormatting>
  <conditionalFormatting sqref="Q8">
    <cfRule type="expression" dxfId="736" priority="29">
      <formula>Q8&gt;0</formula>
    </cfRule>
    <cfRule type="expression" dxfId="735" priority="30">
      <formula>Q8&lt;0</formula>
    </cfRule>
  </conditionalFormatting>
  <conditionalFormatting sqref="Q7">
    <cfRule type="expression" dxfId="734" priority="31">
      <formula>Q7&gt;0</formula>
    </cfRule>
    <cfRule type="expression" dxfId="733" priority="32">
      <formula>Q7&lt;0</formula>
    </cfRule>
  </conditionalFormatting>
  <conditionalFormatting sqref="F72:F74">
    <cfRule type="expression" dxfId="732" priority="27">
      <formula>F72&gt;0</formula>
    </cfRule>
    <cfRule type="expression" dxfId="731" priority="28">
      <formula>F72&lt;0</formula>
    </cfRule>
  </conditionalFormatting>
  <conditionalFormatting sqref="F75:F82">
    <cfRule type="expression" dxfId="730" priority="23">
      <formula>F75&gt;0</formula>
    </cfRule>
    <cfRule type="expression" dxfId="729" priority="24">
      <formula>F75&lt;0</formula>
    </cfRule>
  </conditionalFormatting>
  <conditionalFormatting sqref="F75:F82">
    <cfRule type="expression" dxfId="728" priority="25">
      <formula>F75&gt;0</formula>
    </cfRule>
    <cfRule type="expression" dxfId="727" priority="26">
      <formula>F75&lt;0</formula>
    </cfRule>
  </conditionalFormatting>
  <conditionalFormatting sqref="H72:H82">
    <cfRule type="expression" dxfId="726" priority="21">
      <formula>H72&gt;0</formula>
    </cfRule>
    <cfRule type="expression" dxfId="725" priority="22">
      <formula>H72&lt;0</formula>
    </cfRule>
  </conditionalFormatting>
  <conditionalFormatting sqref="F68:F71">
    <cfRule type="expression" dxfId="724" priority="19">
      <formula>F68&gt;0</formula>
    </cfRule>
    <cfRule type="expression" dxfId="723" priority="20">
      <formula>F68&lt;0</formula>
    </cfRule>
  </conditionalFormatting>
  <conditionalFormatting sqref="H68:H71">
    <cfRule type="expression" dxfId="722" priority="17">
      <formula>H68&gt;0</formula>
    </cfRule>
    <cfRule type="expression" dxfId="721" priority="18">
      <formula>H68&lt;0</formula>
    </cfRule>
  </conditionalFormatting>
  <conditionalFormatting sqref="Q10">
    <cfRule type="expression" dxfId="720" priority="15">
      <formula>Q10&gt;0</formula>
    </cfRule>
    <cfRule type="expression" dxfId="719" priority="16">
      <formula>Q10&lt;0</formula>
    </cfRule>
  </conditionalFormatting>
  <conditionalFormatting sqref="H43 F43">
    <cfRule type="expression" dxfId="718" priority="11">
      <formula>F43&gt;0</formula>
    </cfRule>
    <cfRule type="expression" dxfId="717" priority="12">
      <formula>F43&lt;0</formula>
    </cfRule>
  </conditionalFormatting>
  <conditionalFormatting sqref="H37:H39 F37:F39">
    <cfRule type="expression" dxfId="716" priority="9">
      <formula>F37&gt;0</formula>
    </cfRule>
    <cfRule type="expression" dxfId="715" priority="10">
      <formula>F37&lt;0</formula>
    </cfRule>
  </conditionalFormatting>
  <conditionalFormatting sqref="H35:H36 F35:F36">
    <cfRule type="expression" dxfId="714" priority="7">
      <formula>F35&gt;0</formula>
    </cfRule>
    <cfRule type="expression" dxfId="713" priority="8">
      <formula>F35&lt;0</formula>
    </cfRule>
  </conditionalFormatting>
  <conditionalFormatting sqref="H41:H42 F41:F42 J40:J41">
    <cfRule type="expression" dxfId="712" priority="5">
      <formula>F40&gt;0</formula>
    </cfRule>
    <cfRule type="expression" dxfId="711" priority="6">
      <formula>F40&lt;0</formula>
    </cfRule>
  </conditionalFormatting>
  <conditionalFormatting sqref="H40 F40">
    <cfRule type="expression" dxfId="710" priority="3">
      <formula>F40&gt;0</formula>
    </cfRule>
    <cfRule type="expression" dxfId="709" priority="4">
      <formula>F40&lt;0</formula>
    </cfRule>
  </conditionalFormatting>
  <conditionalFormatting sqref="J42:J45">
    <cfRule type="expression" dxfId="708" priority="1">
      <formula>J42&gt;0</formula>
    </cfRule>
    <cfRule type="expression" dxfId="70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99.66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99.66</v>
      </c>
      <c r="R4" s="475">
        <v>4.3999999999999997E-2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207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245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109.626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250</v>
      </c>
      <c r="O38" s="2"/>
      <c r="P38" s="81">
        <v>1.0900000000000001</v>
      </c>
      <c r="Q38" s="81">
        <f t="shared" ref="Q38:Q57" si="5">P38*$Q$4</f>
        <v>108.6294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107.6328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106.6362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105.6396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104.643</v>
      </c>
      <c r="R42" s="81"/>
      <c r="T42" s="85" t="s">
        <v>99</v>
      </c>
      <c r="U42" s="127" t="s">
        <v>616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103.6464</v>
      </c>
      <c r="R43" s="81"/>
      <c r="T43" s="85" t="s">
        <v>100</v>
      </c>
      <c r="U43" s="127" t="s">
        <v>617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102.6498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101.6532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100.6566</v>
      </c>
      <c r="R46" s="81"/>
      <c r="T46" s="85" t="s">
        <v>121</v>
      </c>
      <c r="U46" s="92" t="s">
        <v>369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98.663399999999996</v>
      </c>
      <c r="R48" s="81"/>
      <c r="T48" s="85" t="s">
        <v>104</v>
      </c>
      <c r="U48" s="127" t="s">
        <v>618</v>
      </c>
      <c r="W48" s="92">
        <v>42766</v>
      </c>
      <c r="X48" s="10" t="s">
        <v>311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97.666799999999995</v>
      </c>
      <c r="R49" s="81"/>
      <c r="T49" s="85" t="s">
        <v>105</v>
      </c>
      <c r="U49" s="127" t="s">
        <v>619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96.670199999999994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95.673599999999993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94.676999999999992</v>
      </c>
      <c r="R52" s="81"/>
      <c r="T52" s="85" t="s">
        <v>107</v>
      </c>
      <c r="U52" s="127" t="s">
        <v>620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93.680399999999992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92.683800000000005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91.687200000000004</v>
      </c>
      <c r="R55" s="81"/>
      <c r="T55" s="85" t="s">
        <v>108</v>
      </c>
      <c r="U55" s="127" t="s">
        <v>532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90.690600000000003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89.694000000000003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6" priority="29">
      <formula>F40&gt;0</formula>
    </cfRule>
    <cfRule type="expression" dxfId="705" priority="30">
      <formula>F40&lt;0</formula>
    </cfRule>
  </conditionalFormatting>
  <conditionalFormatting sqref="F40:F45">
    <cfRule type="expression" dxfId="704" priority="31">
      <formula>F40&gt;0</formula>
    </cfRule>
    <cfRule type="expression" dxfId="703" priority="32">
      <formula>F40&lt;0</formula>
    </cfRule>
  </conditionalFormatting>
  <conditionalFormatting sqref="H40:H45">
    <cfRule type="expression" dxfId="702" priority="27">
      <formula>H40&gt;0</formula>
    </cfRule>
    <cfRule type="expression" dxfId="701" priority="28">
      <formula>H40&lt;0</formula>
    </cfRule>
  </conditionalFormatting>
  <conditionalFormatting sqref="F23:F39">
    <cfRule type="expression" dxfId="700" priority="13">
      <formula>F23&gt;0</formula>
    </cfRule>
    <cfRule type="expression" dxfId="699" priority="14">
      <formula>F23&lt;0</formula>
    </cfRule>
  </conditionalFormatting>
  <conditionalFormatting sqref="H23:H39">
    <cfRule type="expression" dxfId="698" priority="11">
      <formula>H23&gt;0</formula>
    </cfRule>
    <cfRule type="expression" dxfId="697" priority="12">
      <formula>H23&lt;0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Q8">
    <cfRule type="expression" dxfId="694" priority="7">
      <formula>Q8&gt;0</formula>
    </cfRule>
    <cfRule type="expression" dxfId="693" priority="8">
      <formula>Q8&lt;0</formula>
    </cfRule>
  </conditionalFormatting>
  <conditionalFormatting sqref="Q10">
    <cfRule type="expression" dxfId="692" priority="1">
      <formula>Q10&gt;0</formula>
    </cfRule>
    <cfRule type="expression" dxfId="69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80.7</v>
      </c>
      <c r="R4" s="475">
        <v>-1E-3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208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207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207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88.77000000000001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87.963000000000008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87.156000000000006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86.349000000000004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85.542000000000002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84.735000000000014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83.928000000000011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83.121000000000009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82.314000000000007</v>
      </c>
      <c r="Q51" s="2"/>
      <c r="T51" s="106" t="s">
        <v>104</v>
      </c>
      <c r="U51" s="104" t="s">
        <v>621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81.507000000000005</v>
      </c>
      <c r="Q52" s="2"/>
      <c r="T52" s="106" t="s">
        <v>105</v>
      </c>
      <c r="U52" s="104" t="s">
        <v>622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79.893000000000001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79.085999999999999</v>
      </c>
      <c r="T55" s="106" t="s">
        <v>107</v>
      </c>
      <c r="U55" s="104" t="s">
        <v>623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78.278999999999996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77.471999999999994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76.664999999999992</v>
      </c>
      <c r="T58" s="106" t="s">
        <v>108</v>
      </c>
      <c r="U58" s="104" t="s">
        <v>518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75.858000000000004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75.051000000000002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74.244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73.437000000000012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72.63000000000001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0" priority="39">
      <formula>Q12&gt;0</formula>
    </cfRule>
    <cfRule type="expression" dxfId="68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8" priority="33">
      <formula>F25&gt;0</formula>
    </cfRule>
    <cfRule type="expression" dxfId="687" priority="34">
      <formula>F25&lt;0</formula>
    </cfRule>
  </conditionalFormatting>
  <conditionalFormatting sqref="F30">
    <cfRule type="expression" dxfId="686" priority="31">
      <formula>F30&gt;0</formula>
    </cfRule>
    <cfRule type="expression" dxfId="685" priority="32">
      <formula>F30&lt;0</formula>
    </cfRule>
  </conditionalFormatting>
  <conditionalFormatting sqref="F31">
    <cfRule type="expression" dxfId="684" priority="29">
      <formula>F31&gt;0</formula>
    </cfRule>
    <cfRule type="expression" dxfId="683" priority="30">
      <formula>F31&lt;0</formula>
    </cfRule>
  </conditionalFormatting>
  <conditionalFormatting sqref="F32:F34">
    <cfRule type="expression" dxfId="682" priority="27">
      <formula>F32&gt;0</formula>
    </cfRule>
    <cfRule type="expression" dxfId="681" priority="28">
      <formula>F32&lt;0</formula>
    </cfRule>
  </conditionalFormatting>
  <conditionalFormatting sqref="H25:H29">
    <cfRule type="expression" dxfId="680" priority="25">
      <formula>H25&gt;0</formula>
    </cfRule>
    <cfRule type="expression" dxfId="679" priority="26">
      <formula>H25&lt;0</formula>
    </cfRule>
  </conditionalFormatting>
  <conditionalFormatting sqref="H30">
    <cfRule type="expression" dxfId="678" priority="23">
      <formula>H30&gt;0</formula>
    </cfRule>
    <cfRule type="expression" dxfId="677" priority="24">
      <formula>H30&lt;0</formula>
    </cfRule>
  </conditionalFormatting>
  <conditionalFormatting sqref="H31">
    <cfRule type="expression" dxfId="676" priority="21">
      <formula>H31&gt;0</formula>
    </cfRule>
    <cfRule type="expression" dxfId="675" priority="22">
      <formula>H31&lt;0</formula>
    </cfRule>
  </conditionalFormatting>
  <conditionalFormatting sqref="H32:H34">
    <cfRule type="expression" dxfId="674" priority="19">
      <formula>H32&gt;0</formula>
    </cfRule>
    <cfRule type="expression" dxfId="673" priority="20">
      <formula>H32&lt;0</formula>
    </cfRule>
  </conditionalFormatting>
  <conditionalFormatting sqref="F35">
    <cfRule type="expression" dxfId="672" priority="17">
      <formula>F35&gt;0</formula>
    </cfRule>
    <cfRule type="expression" dxfId="671" priority="18">
      <formula>F35&lt;0</formula>
    </cfRule>
  </conditionalFormatting>
  <conditionalFormatting sqref="H35">
    <cfRule type="expression" dxfId="670" priority="15">
      <formula>H35&gt;0</formula>
    </cfRule>
    <cfRule type="expression" dxfId="669" priority="16">
      <formula>H35&lt;0</formula>
    </cfRule>
  </conditionalFormatting>
  <conditionalFormatting sqref="F36">
    <cfRule type="expression" dxfId="668" priority="13">
      <formula>F36&gt;0</formula>
    </cfRule>
    <cfRule type="expression" dxfId="667" priority="14">
      <formula>F36&lt;0</formula>
    </cfRule>
  </conditionalFormatting>
  <conditionalFormatting sqref="H36">
    <cfRule type="expression" dxfId="666" priority="11">
      <formula>H36&gt;0</formula>
    </cfRule>
    <cfRule type="expression" dxfId="665" priority="12">
      <formula>H36&lt;0</formula>
    </cfRule>
  </conditionalFormatting>
  <conditionalFormatting sqref="H23:H24">
    <cfRule type="expression" dxfId="664" priority="5">
      <formula>H23&gt;0</formula>
    </cfRule>
    <cfRule type="expression" dxfId="663" priority="6">
      <formula>H23&lt;0</formula>
    </cfRule>
  </conditionalFormatting>
  <conditionalFormatting sqref="F23:F24">
    <cfRule type="expression" dxfId="662" priority="7">
      <formula>F23&gt;0</formula>
    </cfRule>
    <cfRule type="expression" dxfId="661" priority="8">
      <formula>F23&lt;0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conditionalFormatting sqref="Q8">
    <cfRule type="expression" dxfId="658" priority="1">
      <formula>Q8&gt;0</formula>
    </cfRule>
    <cfRule type="expression" dxfId="65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0</v>
      </c>
      <c r="T2" s="83">
        <v>42566</v>
      </c>
      <c r="U2" t="s">
        <v>233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55.239899999999999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55.239899999999999</v>
      </c>
      <c r="R4" s="475">
        <v>-5.7999999999999996E-3</v>
      </c>
      <c r="T4" s="816">
        <v>43203</v>
      </c>
      <c r="U4" t="s">
        <v>1000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0</v>
      </c>
      <c r="U5" t="s">
        <v>1002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0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ref="F7" si="2">C7*D7+E7</f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2369.9599999999955</v>
      </c>
      <c r="R7">
        <v>0</v>
      </c>
      <c r="T7" s="83">
        <v>43237</v>
      </c>
      <c r="U7" t="s">
        <v>1085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765.37999999999374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208</v>
      </c>
      <c r="P9"/>
      <c r="Q9" s="134">
        <f>IF(Q2=0, 0, Q8/Q6)</f>
        <v>0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2.8240456626460225E-2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946</v>
      </c>
      <c r="Q12" s="1" t="s">
        <v>1123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973</v>
      </c>
      <c r="Q13" s="2">
        <f>Q4/4.52</f>
        <v>12.221216814159293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60.763890000000004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3">P18*$Q$4</f>
        <v>60.211491000000002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3"/>
        <v>59.659092000000001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3"/>
        <v>59.106693</v>
      </c>
      <c r="W20" s="2"/>
      <c r="X20" s="134"/>
    </row>
    <row r="21" spans="1:33" x14ac:dyDescent="0.25">
      <c r="P21" s="81">
        <v>1.06</v>
      </c>
      <c r="Q21" s="81">
        <f t="shared" si="3"/>
        <v>58.554293999999999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3"/>
        <v>58.001894999999998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497</v>
      </c>
      <c r="L23" s="220" t="s">
        <v>973</v>
      </c>
      <c r="M23" s="10"/>
      <c r="P23" s="81">
        <v>1.04</v>
      </c>
      <c r="Q23" s="81">
        <f t="shared" si="3"/>
        <v>57.449496000000003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4">C24*(E24-D24)</f>
        <v>71.999999999999886</v>
      </c>
      <c r="G24" s="39">
        <f t="shared" ref="G24" si="5">D24*C24</f>
        <v>2151.1999999999998</v>
      </c>
      <c r="H24" s="222">
        <f t="shared" ref="H24" si="6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3"/>
        <v>56.897097000000002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7">C25*(E25-D25)</f>
        <v>14.796000000000049</v>
      </c>
      <c r="G25" s="39">
        <f t="shared" ref="G25" si="8">D25*C25</f>
        <v>6392.0039999999999</v>
      </c>
      <c r="H25" s="222">
        <f t="shared" ref="H25" si="9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3"/>
        <v>56.344698000000001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10">C26*(E26-D26)</f>
        <v>197.19599999999957</v>
      </c>
      <c r="G26" s="39">
        <f t="shared" ref="G26" si="11">D26*C26</f>
        <v>6392.0039999999999</v>
      </c>
      <c r="H26" s="222">
        <f t="shared" ref="H26" si="12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3"/>
        <v>55.792299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3">C27*(E27-D27)</f>
        <v>481.64800000000014</v>
      </c>
      <c r="G27" s="39">
        <f t="shared" ref="G27" si="14">D27*C27</f>
        <v>4100.7520000000004</v>
      </c>
      <c r="H27" s="222">
        <f t="shared" ref="H27" si="15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3"/>
        <v>55.239899999999999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6">C28*(E28-D28)</f>
        <v>441.952</v>
      </c>
      <c r="G28" s="39">
        <f t="shared" ref="G28" si="17">D28*C28</f>
        <v>4054.0480000000002</v>
      </c>
      <c r="H28" s="222">
        <f t="shared" ref="H28" si="18">(E28-D28)/D28</f>
        <v>0.10901498946238426</v>
      </c>
      <c r="I28" s="39" t="s">
        <v>770</v>
      </c>
      <c r="J28" s="39">
        <v>2047</v>
      </c>
      <c r="K28" s="39"/>
      <c r="L28" s="10"/>
      <c r="M28" s="10"/>
      <c r="P28" s="81">
        <v>0.99</v>
      </c>
      <c r="Q28" s="81">
        <f t="shared" si="3"/>
        <v>54.687500999999997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9">C29*(E29-D29)</f>
        <v>909.1519999999997</v>
      </c>
      <c r="G29" s="39">
        <f t="shared" ref="G29" si="20">D29*C29</f>
        <v>4054.0480000000002</v>
      </c>
      <c r="H29" s="222">
        <f t="shared" ref="H29" si="21">(E29-D29)/D29</f>
        <v>0.22425782822502341</v>
      </c>
      <c r="I29" s="39" t="s">
        <v>855</v>
      </c>
      <c r="J29" s="39">
        <v>2514</v>
      </c>
      <c r="K29" s="39"/>
      <c r="L29" s="10"/>
      <c r="M29" s="10"/>
      <c r="P29" s="81">
        <v>0.98</v>
      </c>
      <c r="Q29" s="81">
        <f t="shared" si="3"/>
        <v>54.135101999999996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2">C30*(E30-D30)</f>
        <v>1056.3519999999999</v>
      </c>
      <c r="G30" s="39">
        <f t="shared" ref="G30" si="23">D30*C30</f>
        <v>4054.0480000000002</v>
      </c>
      <c r="H30" s="222">
        <f t="shared" ref="H30" si="24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3"/>
        <v>53.582702999999995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5">C31*(E31-D31)</f>
        <v>613.15199999999913</v>
      </c>
      <c r="G31" s="39">
        <f t="shared" ref="G31" si="26">D31*C31</f>
        <v>6366.0480000000007</v>
      </c>
      <c r="H31" s="222">
        <f t="shared" ref="H31" si="27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3"/>
        <v>53.030303999999994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8">C32*(E32-D32)</f>
        <v>322.79999999999973</v>
      </c>
      <c r="G32" s="39">
        <f t="shared" ref="G32" si="29">D32*C32</f>
        <v>6334.8</v>
      </c>
      <c r="H32" s="222">
        <f t="shared" ref="H32" si="30">(E32-D32)/D32</f>
        <v>5.0956620572078004E-2</v>
      </c>
      <c r="I32" s="193" t="s">
        <v>962</v>
      </c>
      <c r="J32" s="39">
        <v>1927</v>
      </c>
      <c r="K32" s="39"/>
      <c r="L32" s="10"/>
      <c r="M32" s="10"/>
      <c r="P32" s="81">
        <v>0.95</v>
      </c>
      <c r="Q32" s="81">
        <f t="shared" si="3"/>
        <v>52.477905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1">C33*(E33-D33)</f>
        <v>-21.999999999999886</v>
      </c>
      <c r="G33" s="39">
        <f t="shared" ref="G33" si="32">D33*C33</f>
        <v>10574</v>
      </c>
      <c r="H33" s="222">
        <f t="shared" ref="H33" si="33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3"/>
        <v>51.925505999999999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4">C34*(E34-D34)</f>
        <v>-116.85999999999979</v>
      </c>
      <c r="G34" s="39">
        <f t="shared" ref="G34" si="35">D34*C34</f>
        <v>10574.859999999999</v>
      </c>
      <c r="H34" s="222">
        <f t="shared" ref="H34" si="36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3"/>
        <v>51.373107000000005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7">C35*(E35-D35)</f>
        <v>-354.85999999999933</v>
      </c>
      <c r="G35" s="39">
        <f t="shared" ref="G35" si="38">D35*C35</f>
        <v>10574.859999999999</v>
      </c>
      <c r="H35" s="222">
        <f t="shared" ref="H35" si="39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3"/>
        <v>50.820708000000003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40">C36*(E36-D36)</f>
        <v>-128.00000000000011</v>
      </c>
      <c r="G36" s="39">
        <f t="shared" ref="G36" si="41">D36*C36</f>
        <v>10574</v>
      </c>
      <c r="H36" s="222">
        <f t="shared" ref="H36" si="42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3"/>
        <v>50.268309000000002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3">C37*(E37-D37)</f>
        <v>-396.8599999999995</v>
      </c>
      <c r="G37" s="39">
        <f t="shared" ref="G37" si="44">D37*C37</f>
        <v>10574.859999999999</v>
      </c>
      <c r="H37" s="222">
        <f t="shared" ref="H37" si="45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3"/>
        <v>49.715910000000001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6">C38*(E38-D38)</f>
        <v>-86.86000000000007</v>
      </c>
      <c r="G38" s="39">
        <f t="shared" ref="G38" si="47">D38*C38</f>
        <v>10574.859999999999</v>
      </c>
      <c r="H38" s="222">
        <f t="shared" ref="H38" si="48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9">C39*(E39-D39)</f>
        <v>357.44399999999956</v>
      </c>
      <c r="G39" s="39">
        <f t="shared" ref="G39" si="50">D39*C39</f>
        <v>6200.5560000000005</v>
      </c>
      <c r="H39" s="222">
        <f t="shared" ref="H39" si="51">(E39-D39)/D39</f>
        <v>5.7647088422393016E-2</v>
      </c>
      <c r="I39" s="832" t="s">
        <v>1083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2">C40*(E40-D40)</f>
        <v>319.44000000000017</v>
      </c>
      <c r="G40" s="39">
        <f t="shared" ref="G40" si="53">D40*C40</f>
        <v>10524.56</v>
      </c>
      <c r="H40" s="222">
        <f t="shared" ref="H40" si="54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5">C41*(E41-D41)</f>
        <v>544.36800000000005</v>
      </c>
      <c r="G41" s="39">
        <f t="shared" ref="G41" si="56">D41*C41</f>
        <v>6086.8319999999994</v>
      </c>
      <c r="H41" s="222">
        <f t="shared" ref="H41" si="57">(E41-D41)/D41</f>
        <v>8.9433715272575307E-2</v>
      </c>
      <c r="I41" s="832" t="s">
        <v>1096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8">C42*(E42-D42)</f>
        <v>488.76000000000062</v>
      </c>
      <c r="G42" s="39">
        <f t="shared" ref="G42" si="59">D42*C42</f>
        <v>10445.24</v>
      </c>
      <c r="H42" s="222">
        <f t="shared" ref="H42" si="60">(E42-D42)/D42</f>
        <v>4.6792606010010361E-2</v>
      </c>
      <c r="I42" s="832" t="s">
        <v>1100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1">C43*(E43-D43)</f>
        <v>138.27500000000015</v>
      </c>
      <c r="G43" s="39">
        <f t="shared" ref="G43" si="62">D43*C43</f>
        <v>13099.225</v>
      </c>
      <c r="H43" s="222">
        <f t="shared" ref="H43" si="63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4">C44*(E44-D44)</f>
        <v>651.27500000000009</v>
      </c>
      <c r="G44" s="39">
        <f t="shared" ref="G44" si="65">D44*C44</f>
        <v>13021.224999999999</v>
      </c>
      <c r="H44" s="222">
        <f t="shared" ref="H44" si="66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7">C45*(E45-D45)</f>
        <v>496.71999999999912</v>
      </c>
      <c r="G45" s="39">
        <f t="shared" ref="G45" si="68">D45*C45</f>
        <v>10291.280000000001</v>
      </c>
      <c r="H45" s="222">
        <f t="shared" ref="H45" si="69">(E45-D45)/D45</f>
        <v>4.8266104896572543E-2</v>
      </c>
      <c r="I45" s="832" t="s">
        <v>1150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ref="F46" si="70">C46*(E46-D46)</f>
        <v>364.00000000000006</v>
      </c>
      <c r="G46" s="39">
        <f t="shared" ref="G46" si="71">D46*C46</f>
        <v>10292</v>
      </c>
      <c r="H46" s="222">
        <f t="shared" ref="H46" si="72">(E46-D46)/D46</f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ref="F47" si="73">C47*(E47-D47)</f>
        <v>577.20000000000027</v>
      </c>
      <c r="G47" s="39">
        <f t="shared" ref="G47:G48" si="74">D47*C47</f>
        <v>5858.4</v>
      </c>
      <c r="H47" s="222">
        <f t="shared" ref="H47" si="75">(E47-D47)/D47</f>
        <v>9.8525194592380225E-2</v>
      </c>
      <c r="I47" s="832" t="s">
        <v>1152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>
        <f t="shared" si="74"/>
        <v>0</v>
      </c>
      <c r="H48" s="10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76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76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7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76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7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76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7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76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7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76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7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76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7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76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7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76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8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8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8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8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8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8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6" priority="63">
      <formula>Q8&gt;0</formula>
    </cfRule>
    <cfRule type="expression" dxfId="655" priority="64">
      <formula>Q8&lt;0</formula>
    </cfRule>
  </conditionalFormatting>
  <conditionalFormatting sqref="Q7">
    <cfRule type="expression" dxfId="654" priority="65">
      <formula>Q7&gt;0</formula>
    </cfRule>
    <cfRule type="expression" dxfId="653" priority="66">
      <formula>Q7&lt;0</formula>
    </cfRule>
  </conditionalFormatting>
  <conditionalFormatting sqref="M57">
    <cfRule type="expression" dxfId="652" priority="53">
      <formula>M57&gt;0</formula>
    </cfRule>
    <cfRule type="expression" dxfId="651" priority="54">
      <formula>M57&lt;0</formula>
    </cfRule>
  </conditionalFormatting>
  <conditionalFormatting sqref="M57">
    <cfRule type="expression" dxfId="650" priority="55">
      <formula>M57&gt;0</formula>
    </cfRule>
    <cfRule type="expression" dxfId="649" priority="56">
      <formula>M57&lt;0</formula>
    </cfRule>
  </conditionalFormatting>
  <conditionalFormatting sqref="F24:F48">
    <cfRule type="expression" dxfId="648" priority="41">
      <formula>F24&gt;0</formula>
    </cfRule>
    <cfRule type="expression" dxfId="647" priority="42">
      <formula>F24&lt;0</formula>
    </cfRule>
  </conditionalFormatting>
  <conditionalFormatting sqref="F24:F48">
    <cfRule type="expression" dxfId="646" priority="43">
      <formula>F24&gt;0</formula>
    </cfRule>
    <cfRule type="expression" dxfId="645" priority="44">
      <formula>F24&lt;0</formula>
    </cfRule>
  </conditionalFormatting>
  <conditionalFormatting sqref="H24:H47">
    <cfRule type="expression" dxfId="644" priority="39">
      <formula>H24&gt;0</formula>
    </cfRule>
    <cfRule type="expression" dxfId="643" priority="40">
      <formula>H24&lt;0</formula>
    </cfRule>
  </conditionalFormatting>
  <conditionalFormatting sqref="J27:J38">
    <cfRule type="expression" dxfId="642" priority="9">
      <formula>J27&gt;0</formula>
    </cfRule>
    <cfRule type="expression" dxfId="641" priority="10">
      <formula>J27&lt;0</formula>
    </cfRule>
  </conditionalFormatting>
  <conditionalFormatting sqref="J27:J38">
    <cfRule type="expression" dxfId="640" priority="11">
      <formula>J27&gt;0</formula>
    </cfRule>
    <cfRule type="expression" dxfId="639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8" priority="5">
      <formula>J39&gt;0</formula>
    </cfRule>
    <cfRule type="expression" dxfId="637" priority="6">
      <formula>J39&lt;0</formula>
    </cfRule>
  </conditionalFormatting>
  <conditionalFormatting sqref="J39">
    <cfRule type="expression" dxfId="636" priority="7">
      <formula>J39&gt;0</formula>
    </cfRule>
    <cfRule type="expression" dxfId="635" priority="8">
      <formula>J39&lt;0</formula>
    </cfRule>
  </conditionalFormatting>
  <conditionalFormatting sqref="J40:J54">
    <cfRule type="expression" dxfId="634" priority="1">
      <formula>J40&gt;0</formula>
    </cfRule>
    <cfRule type="expression" dxfId="633" priority="2">
      <formula>J40&lt;0</formula>
    </cfRule>
  </conditionalFormatting>
  <conditionalFormatting sqref="J40:J54">
    <cfRule type="expression" dxfId="632" priority="3">
      <formula>J40&gt;0</formula>
    </cfRule>
    <cfRule type="expression" dxfId="631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231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46.88</v>
      </c>
      <c r="T3" s="118">
        <v>42568</v>
      </c>
      <c r="U3" t="s">
        <v>236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46.88</v>
      </c>
      <c r="R4" s="475">
        <v>2.3599999999999999E-2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207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51.568000000000005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51.099200000000003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50.630400000000009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50.161600000000007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49.692800000000005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49.224000000000004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48.755200000000002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48.2864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47.817600000000006</v>
      </c>
      <c r="R48" s="81"/>
      <c r="T48" s="85" t="s">
        <v>104</v>
      </c>
      <c r="U48" s="86" t="s">
        <v>624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47.348800000000004</v>
      </c>
      <c r="R49" s="81"/>
      <c r="T49" s="85" t="s">
        <v>105</v>
      </c>
      <c r="U49" s="86" t="s">
        <v>424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46.88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46.411200000000001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45.942399999999999</v>
      </c>
      <c r="R52" s="81"/>
      <c r="T52" s="85" t="s">
        <v>107</v>
      </c>
      <c r="U52" s="86" t="s">
        <v>625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45.473600000000005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45.004800000000003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44.536000000000001</v>
      </c>
      <c r="R55" s="81"/>
      <c r="T55" s="85" t="s">
        <v>108</v>
      </c>
      <c r="U55" s="86" t="s">
        <v>508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44.0672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43.598400000000005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43.129600000000003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42.660800000000002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42.192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230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0" priority="66">
      <formula>F22&gt;0</formula>
    </cfRule>
    <cfRule type="expression" dxfId="6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8" priority="53">
      <formula>F41&gt;0</formula>
    </cfRule>
    <cfRule type="expression" dxfId="627" priority="54">
      <formula>F41&lt;0</formula>
    </cfRule>
  </conditionalFormatting>
  <conditionalFormatting sqref="F41">
    <cfRule type="expression" dxfId="626" priority="57">
      <formula>F41&gt;0</formula>
    </cfRule>
    <cfRule type="expression" dxfId="625" priority="58">
      <formula>F41&lt;0</formula>
    </cfRule>
  </conditionalFormatting>
  <conditionalFormatting sqref="H41">
    <cfRule type="expression" dxfId="624" priority="35">
      <formula>H41&gt;0</formula>
    </cfRule>
    <cfRule type="expression" dxfId="623" priority="36">
      <formula>H41&lt;0</formula>
    </cfRule>
  </conditionalFormatting>
  <conditionalFormatting sqref="F89:F95">
    <cfRule type="expression" dxfId="622" priority="29">
      <formula>F89&gt;0</formula>
    </cfRule>
    <cfRule type="expression" dxfId="621" priority="30">
      <formula>F89&lt;0</formula>
    </cfRule>
  </conditionalFormatting>
  <conditionalFormatting sqref="F96:F110">
    <cfRule type="expression" dxfId="620" priority="25">
      <formula>F96&gt;0</formula>
    </cfRule>
    <cfRule type="expression" dxfId="619" priority="26">
      <formula>F96&lt;0</formula>
    </cfRule>
  </conditionalFormatting>
  <conditionalFormatting sqref="F96:F110">
    <cfRule type="expression" dxfId="618" priority="27">
      <formula>F96&gt;0</formula>
    </cfRule>
    <cfRule type="expression" dxfId="617" priority="28">
      <formula>F96&lt;0</formula>
    </cfRule>
  </conditionalFormatting>
  <conditionalFormatting sqref="H89:H100">
    <cfRule type="expression" dxfId="616" priority="23">
      <formula>H89&gt;0</formula>
    </cfRule>
    <cfRule type="expression" dxfId="615" priority="24">
      <formula>H89&lt;0</formula>
    </cfRule>
  </conditionalFormatting>
  <conditionalFormatting sqref="H101">
    <cfRule type="expression" dxfId="614" priority="21">
      <formula>H101&gt;0</formula>
    </cfRule>
    <cfRule type="expression" dxfId="613" priority="22">
      <formula>H101&lt;0</formula>
    </cfRule>
  </conditionalFormatting>
  <conditionalFormatting sqref="F111:F116">
    <cfRule type="expression" dxfId="612" priority="19">
      <formula>F111&gt;0</formula>
    </cfRule>
    <cfRule type="expression" dxfId="611" priority="20">
      <formula>F111&lt;0</formula>
    </cfRule>
  </conditionalFormatting>
  <conditionalFormatting sqref="H103:H116">
    <cfRule type="expression" dxfId="610" priority="17">
      <formula>H103&gt;0</formula>
    </cfRule>
    <cfRule type="expression" dxfId="609" priority="18">
      <formula>H103&lt;0</formula>
    </cfRule>
  </conditionalFormatting>
  <conditionalFormatting sqref="H102">
    <cfRule type="expression" dxfId="608" priority="15">
      <formula>H102&gt;0</formula>
    </cfRule>
    <cfRule type="expression" dxfId="607" priority="16">
      <formula>H102&lt;0</formula>
    </cfRule>
  </conditionalFormatting>
  <conditionalFormatting sqref="M42">
    <cfRule type="expression" dxfId="606" priority="13">
      <formula>M42&gt;0</formula>
    </cfRule>
    <cfRule type="expression" dxfId="605" priority="14">
      <formula>M42&lt;0</formula>
    </cfRule>
  </conditionalFormatting>
  <conditionalFormatting sqref="Q7">
    <cfRule type="expression" dxfId="604" priority="9">
      <formula>Q7&gt;0</formula>
    </cfRule>
    <cfRule type="expression" dxfId="603" priority="10">
      <formula>Q7&lt;0</formula>
    </cfRule>
  </conditionalFormatting>
  <conditionalFormatting sqref="Q8">
    <cfRule type="expression" dxfId="602" priority="7">
      <formula>Q8&gt;0</formula>
    </cfRule>
    <cfRule type="expression" dxfId="601" priority="8">
      <formula>Q8&lt;0</formula>
    </cfRule>
  </conditionalFormatting>
  <conditionalFormatting sqref="F117:F130 H117:H130">
    <cfRule type="expression" dxfId="600" priority="1">
      <formula>F117&gt;0</formula>
    </cfRule>
    <cfRule type="expression" dxfId="5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222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237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43.05</v>
      </c>
      <c r="T3" s="1" t="s">
        <v>238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43.05</v>
      </c>
      <c r="R4" s="493">
        <v>-2.7300000000000001E-2</v>
      </c>
      <c r="T4" s="156">
        <v>42633</v>
      </c>
      <c r="U4" s="1" t="s">
        <v>270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324</v>
      </c>
      <c r="U6" t="s">
        <v>454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453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455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47.355000000000004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46.924500000000002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46.494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46.063499999999998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45.633000000000003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45.202500000000001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44.771999999999998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44.341499999999996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43.911000000000001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43.480499999999999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43.05</v>
      </c>
      <c r="W39" s="134"/>
    </row>
    <row r="40" spans="1:23" x14ac:dyDescent="0.25">
      <c r="O40" s="81">
        <v>0.99</v>
      </c>
      <c r="P40" s="81">
        <f t="shared" si="0"/>
        <v>42.619499999999995</v>
      </c>
      <c r="W40" s="134"/>
    </row>
    <row r="41" spans="1:23" x14ac:dyDescent="0.25">
      <c r="O41" s="81">
        <v>0.98</v>
      </c>
      <c r="P41" s="81">
        <f t="shared" si="0"/>
        <v>42.188999999999993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41.758499999999998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41.327999999999996</v>
      </c>
      <c r="W43" s="134"/>
    </row>
    <row r="44" spans="1:23" x14ac:dyDescent="0.25">
      <c r="A44" s="687" t="s">
        <v>222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40.897499999999994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40.466999999999992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40.036499999999997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39.606000000000002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39.1755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38.744999999999997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421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626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471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627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545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225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503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282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283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283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308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503</v>
      </c>
    </row>
    <row r="167" spans="1:10" x14ac:dyDescent="0.25">
      <c r="A167" t="s">
        <v>338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338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426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440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445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358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466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8" priority="84">
      <formula>F7&gt;0</formula>
    </cfRule>
    <cfRule type="expression" dxfId="597" priority="85">
      <formula>F7&lt;0</formula>
    </cfRule>
  </conditionalFormatting>
  <conditionalFormatting sqref="Q8">
    <cfRule type="expression" dxfId="596" priority="82">
      <formula>Q8&gt;0</formula>
    </cfRule>
    <cfRule type="expression" dxfId="595" priority="83">
      <formula>Q8&lt;0</formula>
    </cfRule>
  </conditionalFormatting>
  <conditionalFormatting sqref="F29:F36">
    <cfRule type="expression" dxfId="594" priority="62">
      <formula>F29&gt;0</formula>
    </cfRule>
    <cfRule type="expression" dxfId="593" priority="63">
      <formula>F29&lt;0</formula>
    </cfRule>
  </conditionalFormatting>
  <conditionalFormatting sqref="J32:J38">
    <cfRule type="expression" dxfId="592" priority="57">
      <formula>J32&gt;0</formula>
    </cfRule>
    <cfRule type="expression" dxfId="591" priority="58">
      <formula>J32&lt;0</formula>
    </cfRule>
  </conditionalFormatting>
  <conditionalFormatting sqref="M42">
    <cfRule type="expression" dxfId="590" priority="55">
      <formula>M42&gt;0</formula>
    </cfRule>
    <cfRule type="expression" dxfId="589" priority="56">
      <formula>M42&lt;0</formula>
    </cfRule>
  </conditionalFormatting>
  <conditionalFormatting sqref="F98:F134 H98:H134 H137:H142 F137:F142 F144:F153 H144:H153">
    <cfRule type="expression" dxfId="588" priority="53">
      <formula>F98&gt;0</formula>
    </cfRule>
    <cfRule type="expression" dxfId="587" priority="54">
      <formula>F98&lt;0</formula>
    </cfRule>
  </conditionalFormatting>
  <conditionalFormatting sqref="F90:F97">
    <cfRule type="expression" dxfId="586" priority="51">
      <formula>F90&gt;0</formula>
    </cfRule>
    <cfRule type="expression" dxfId="585" priority="52">
      <formula>F90&lt;0</formula>
    </cfRule>
  </conditionalFormatting>
  <conditionalFormatting sqref="H90:H97">
    <cfRule type="expression" dxfId="584" priority="49">
      <formula>H90&gt;0</formula>
    </cfRule>
    <cfRule type="expression" dxfId="583" priority="50">
      <formula>H90&lt;0</formula>
    </cfRule>
  </conditionalFormatting>
  <conditionalFormatting sqref="F135:F136 H135:H136">
    <cfRule type="expression" dxfId="582" priority="47">
      <formula>F135&gt;0</formula>
    </cfRule>
    <cfRule type="expression" dxfId="581" priority="48">
      <formula>F135&lt;0</formula>
    </cfRule>
  </conditionalFormatting>
  <conditionalFormatting sqref="H143 F143">
    <cfRule type="expression" dxfId="580" priority="45">
      <formula>F143&gt;0</formula>
    </cfRule>
    <cfRule type="expression" dxfId="579" priority="46">
      <formula>F143&lt;0</formula>
    </cfRule>
  </conditionalFormatting>
  <conditionalFormatting sqref="F154:F161">
    <cfRule type="expression" dxfId="578" priority="31">
      <formula>F154&gt;0</formula>
    </cfRule>
    <cfRule type="expression" dxfId="577" priority="32">
      <formula>F154&lt;0</formula>
    </cfRule>
  </conditionalFormatting>
  <conditionalFormatting sqref="H154:H161">
    <cfRule type="expression" dxfId="576" priority="29">
      <formula>H154&gt;0</formula>
    </cfRule>
    <cfRule type="expression" dxfId="575" priority="30">
      <formula>H154&lt;0</formula>
    </cfRule>
  </conditionalFormatting>
  <conditionalFormatting sqref="Q10">
    <cfRule type="expression" dxfId="574" priority="27">
      <formula>Q10&gt;0</formula>
    </cfRule>
    <cfRule type="expression" dxfId="573" priority="28">
      <formula>Q10&lt;0</formula>
    </cfRule>
  </conditionalFormatting>
  <conditionalFormatting sqref="F37:F38">
    <cfRule type="expression" dxfId="572" priority="25">
      <formula>F37&gt;0</formula>
    </cfRule>
    <cfRule type="expression" dxfId="571" priority="26">
      <formula>F37&lt;0</formula>
    </cfRule>
  </conditionalFormatting>
  <conditionalFormatting sqref="H37:H38">
    <cfRule type="expression" dxfId="570" priority="23">
      <formula>H37&gt;0</formula>
    </cfRule>
    <cfRule type="expression" dxfId="569" priority="24">
      <formula>H37&lt;0</formula>
    </cfRule>
  </conditionalFormatting>
  <conditionalFormatting sqref="F167">
    <cfRule type="expression" dxfId="568" priority="21">
      <formula>F167&gt;0</formula>
    </cfRule>
    <cfRule type="expression" dxfId="567" priority="22">
      <formula>F167&lt;0</formula>
    </cfRule>
  </conditionalFormatting>
  <conditionalFormatting sqref="F168:F179">
    <cfRule type="expression" dxfId="566" priority="19">
      <formula>F168&gt;0</formula>
    </cfRule>
    <cfRule type="expression" dxfId="565" priority="20">
      <formula>F168&lt;0</formula>
    </cfRule>
  </conditionalFormatting>
  <conditionalFormatting sqref="H167:H179">
    <cfRule type="expression" dxfId="564" priority="17">
      <formula>H167&gt;0</formula>
    </cfRule>
    <cfRule type="expression" dxfId="563" priority="18">
      <formula>H167&lt;0</formula>
    </cfRule>
  </conditionalFormatting>
  <conditionalFormatting sqref="J175:J197 J201">
    <cfRule type="expression" dxfId="562" priority="15">
      <formula>J175&gt;0</formula>
    </cfRule>
    <cfRule type="expression" dxfId="561" priority="16">
      <formula>J175&lt;0</formula>
    </cfRule>
  </conditionalFormatting>
  <conditionalFormatting sqref="F180:F197 F201">
    <cfRule type="expression" dxfId="560" priority="13">
      <formula>F180&gt;0</formula>
    </cfRule>
    <cfRule type="expression" dxfId="559" priority="14">
      <formula>F180&lt;0</formula>
    </cfRule>
  </conditionalFormatting>
  <conditionalFormatting sqref="H180:H197 H201">
    <cfRule type="expression" dxfId="558" priority="11">
      <formula>H180&gt;0</formula>
    </cfRule>
    <cfRule type="expression" dxfId="557" priority="12">
      <formula>H180&lt;0</formula>
    </cfRule>
  </conditionalFormatting>
  <conditionalFormatting sqref="I32:J35">
    <cfRule type="expression" dxfId="556" priority="9">
      <formula>I32&gt;0</formula>
    </cfRule>
    <cfRule type="expression" dxfId="555" priority="10">
      <formula>I32&lt;0</formula>
    </cfRule>
  </conditionalFormatting>
  <conditionalFormatting sqref="F198:F200">
    <cfRule type="expression" dxfId="554" priority="7">
      <formula>F198&gt;0</formula>
    </cfRule>
    <cfRule type="expression" dxfId="553" priority="8">
      <formula>F198&lt;0</formula>
    </cfRule>
  </conditionalFormatting>
  <conditionalFormatting sqref="H198:H200">
    <cfRule type="expression" dxfId="552" priority="5">
      <formula>H198&gt;0</formula>
    </cfRule>
    <cfRule type="expression" dxfId="551" priority="6">
      <formula>H198&lt;0</formula>
    </cfRule>
  </conditionalFormatting>
  <conditionalFormatting sqref="J198:J200">
    <cfRule type="expression" dxfId="550" priority="3">
      <formula>J198&gt;0</formula>
    </cfRule>
    <cfRule type="expression" dxfId="549" priority="4">
      <formula>J198&lt;0</formula>
    </cfRule>
  </conditionalFormatting>
  <conditionalFormatting sqref="F202:F211 H202:H211 J202:J211">
    <cfRule type="expression" dxfId="548" priority="1">
      <formula>F202&gt;0</formula>
    </cfRule>
    <cfRule type="expression" dxfId="54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340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76.55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76.55</v>
      </c>
      <c r="R4" s="493">
        <v>-1E-3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946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973</v>
      </c>
      <c r="Q13">
        <f>Q4/5.25</f>
        <v>14.580952380952381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688</v>
      </c>
      <c r="Q15" s="679" t="s">
        <v>689</v>
      </c>
      <c r="R15" s="677" t="s">
        <v>682</v>
      </c>
      <c r="S15" s="677" t="s">
        <v>683</v>
      </c>
      <c r="T15" s="679" t="s">
        <v>685</v>
      </c>
      <c r="U15" s="679" t="s">
        <v>686</v>
      </c>
      <c r="V15" s="677" t="s">
        <v>684</v>
      </c>
      <c r="W15" s="678" t="s">
        <v>687</v>
      </c>
    </row>
    <row r="16" spans="1:23" x14ac:dyDescent="0.25">
      <c r="G16" s="29"/>
      <c r="H16" s="70"/>
      <c r="O16" s="680">
        <v>42963</v>
      </c>
      <c r="P16" s="676" t="s">
        <v>690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84.204999999999998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83.43950000000001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82.674000000000007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81.908500000000004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81.143000000000001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80.377499999999998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79.611999999999995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78.846500000000006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78.081000000000003</v>
      </c>
      <c r="Q49" s="2"/>
      <c r="T49" s="91" t="s">
        <v>103</v>
      </c>
      <c r="U49" s="127" t="s">
        <v>479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77.3155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76.55</v>
      </c>
      <c r="Q51" s="2"/>
      <c r="T51" s="91" t="s">
        <v>104</v>
      </c>
      <c r="U51" s="127" t="s">
        <v>628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75.784499999999994</v>
      </c>
      <c r="Q52" s="2"/>
      <c r="T52" s="91" t="s">
        <v>105</v>
      </c>
      <c r="U52" s="127" t="s">
        <v>629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75.018999999999991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74.253499999999988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73.488</v>
      </c>
      <c r="T55" s="91" t="s">
        <v>107</v>
      </c>
      <c r="U55" s="127" t="s">
        <v>630</v>
      </c>
    </row>
    <row r="56" spans="1:21" x14ac:dyDescent="0.25">
      <c r="O56" s="81">
        <v>0.95</v>
      </c>
      <c r="P56" s="81">
        <f t="shared" si="0"/>
        <v>72.722499999999997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71.956999999999994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71.191500000000005</v>
      </c>
      <c r="T58" s="91" t="s">
        <v>108</v>
      </c>
      <c r="U58" s="127" t="s">
        <v>546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70.426000000000002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69.660499999999999</v>
      </c>
    </row>
    <row r="61" spans="1:21" x14ac:dyDescent="0.25">
      <c r="A61" s="371" t="s">
        <v>340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68.894999999999996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448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448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473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6" priority="80">
      <formula>Q7&gt;0</formula>
    </cfRule>
    <cfRule type="expression" dxfId="545" priority="81">
      <formula>Q7&lt;0</formula>
    </cfRule>
  </conditionalFormatting>
  <conditionalFormatting sqref="Q8">
    <cfRule type="expression" dxfId="544" priority="78">
      <formula>Q8&gt;0</formula>
    </cfRule>
    <cfRule type="expression" dxfId="543" priority="79">
      <formula>Q8&lt;0</formula>
    </cfRule>
  </conditionalFormatting>
  <conditionalFormatting sqref="F29:F43">
    <cfRule type="expression" dxfId="542" priority="62">
      <formula>F29&gt;0</formula>
    </cfRule>
    <cfRule type="expression" dxfId="541" priority="63">
      <formula>F29&lt;0</formula>
    </cfRule>
  </conditionalFormatting>
  <conditionalFormatting sqref="H45 H47:H48 H50:H51 H53 H29:H43">
    <cfRule type="expression" dxfId="540" priority="60">
      <formula>H29&gt;0</formula>
    </cfRule>
    <cfRule type="expression" dxfId="539" priority="61">
      <formula>H29&lt;0</formula>
    </cfRule>
  </conditionalFormatting>
  <conditionalFormatting sqref="J35">
    <cfRule type="expression" dxfId="538" priority="56">
      <formula>J35&gt;0</formula>
    </cfRule>
    <cfRule type="expression" dxfId="537" priority="57">
      <formula>J35&lt;0</formula>
    </cfRule>
  </conditionalFormatting>
  <conditionalFormatting sqref="J36:J37">
    <cfRule type="expression" dxfId="536" priority="54">
      <formula>J36&gt;0</formula>
    </cfRule>
    <cfRule type="expression" dxfId="535" priority="55">
      <formula>J36&lt;0</formula>
    </cfRule>
  </conditionalFormatting>
  <conditionalFormatting sqref="J38:J45 J48 J51">
    <cfRule type="expression" dxfId="534" priority="52">
      <formula>J38&gt;0</formula>
    </cfRule>
    <cfRule type="expression" dxfId="53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2" priority="49">
      <formula>M59&gt;0</formula>
    </cfRule>
    <cfRule type="expression" dxfId="531" priority="50">
      <formula>M59&lt;0</formula>
    </cfRule>
  </conditionalFormatting>
  <conditionalFormatting sqref="Q10">
    <cfRule type="expression" dxfId="530" priority="47">
      <formula>Q10&gt;0</formula>
    </cfRule>
    <cfRule type="expression" dxfId="529" priority="48">
      <formula>Q10&lt;0</formula>
    </cfRule>
  </conditionalFormatting>
  <conditionalFormatting sqref="F84:F103">
    <cfRule type="expression" dxfId="528" priority="45">
      <formula>F84&gt;0</formula>
    </cfRule>
    <cfRule type="expression" dxfId="527" priority="46">
      <formula>F84&lt;0</formula>
    </cfRule>
  </conditionalFormatting>
  <conditionalFormatting sqref="H107 H84:H103">
    <cfRule type="expression" dxfId="526" priority="43">
      <formula>H84&gt;0</formula>
    </cfRule>
    <cfRule type="expression" dxfId="525" priority="44">
      <formula>H84&lt;0</formula>
    </cfRule>
  </conditionalFormatting>
  <conditionalFormatting sqref="J89">
    <cfRule type="expression" dxfId="524" priority="41">
      <formula>J89&gt;0</formula>
    </cfRule>
    <cfRule type="expression" dxfId="523" priority="42">
      <formula>J89&lt;0</formula>
    </cfRule>
  </conditionalFormatting>
  <conditionalFormatting sqref="J90:J95">
    <cfRule type="expression" dxfId="522" priority="39">
      <formula>J90&gt;0</formula>
    </cfRule>
    <cfRule type="expression" dxfId="521" priority="40">
      <formula>J90&lt;0</formula>
    </cfRule>
  </conditionalFormatting>
  <conditionalFormatting sqref="J96:J97">
    <cfRule type="expression" dxfId="520" priority="37">
      <formula>J96&gt;0</formula>
    </cfRule>
    <cfRule type="expression" dxfId="519" priority="38">
      <formula>J96&lt;0</formula>
    </cfRule>
  </conditionalFormatting>
  <conditionalFormatting sqref="J98:J104">
    <cfRule type="expression" dxfId="518" priority="35">
      <formula>J98&gt;0</formula>
    </cfRule>
    <cfRule type="expression" dxfId="517" priority="36">
      <formula>J98&lt;0</formula>
    </cfRule>
  </conditionalFormatting>
  <conditionalFormatting sqref="J25">
    <cfRule type="expression" dxfId="516" priority="31">
      <formula>J25&gt;0</formula>
    </cfRule>
    <cfRule type="expression" dxfId="515" priority="32">
      <formula>J25&lt;0</formula>
    </cfRule>
  </conditionalFormatting>
  <conditionalFormatting sqref="F105:F106">
    <cfRule type="expression" dxfId="514" priority="29">
      <formula>F105&gt;0</formula>
    </cfRule>
    <cfRule type="expression" dxfId="513" priority="30">
      <formula>F105&lt;0</formula>
    </cfRule>
  </conditionalFormatting>
  <conditionalFormatting sqref="H105:H106">
    <cfRule type="expression" dxfId="512" priority="27">
      <formula>H105&gt;0</formula>
    </cfRule>
    <cfRule type="expression" dxfId="511" priority="28">
      <formula>H105&lt;0</formula>
    </cfRule>
  </conditionalFormatting>
  <conditionalFormatting sqref="J105">
    <cfRule type="expression" dxfId="510" priority="25">
      <formula>J105&gt;0</formula>
    </cfRule>
    <cfRule type="expression" dxfId="509" priority="26">
      <formula>J105&lt;0</formula>
    </cfRule>
  </conditionalFormatting>
  <conditionalFormatting sqref="J106">
    <cfRule type="expression" dxfId="508" priority="23">
      <formula>J106&gt;0</formula>
    </cfRule>
    <cfRule type="expression" dxfId="507" priority="24">
      <formula>J106&lt;0</formula>
    </cfRule>
  </conditionalFormatting>
  <conditionalFormatting sqref="F24 F27:F28">
    <cfRule type="expression" dxfId="506" priority="21">
      <formula>F24&gt;0</formula>
    </cfRule>
    <cfRule type="expression" dxfId="505" priority="22">
      <formula>F24&lt;0</formula>
    </cfRule>
  </conditionalFormatting>
  <conditionalFormatting sqref="H24:H28">
    <cfRule type="expression" dxfId="504" priority="19">
      <formula>H24&gt;0</formula>
    </cfRule>
    <cfRule type="expression" dxfId="503" priority="20">
      <formula>H24&lt;0</formula>
    </cfRule>
  </conditionalFormatting>
  <conditionalFormatting sqref="J26:J34">
    <cfRule type="expression" dxfId="502" priority="17">
      <formula>J26&gt;0</formula>
    </cfRule>
    <cfRule type="expression" dxfId="501" priority="18">
      <formula>J26&lt;0</formula>
    </cfRule>
  </conditionalFormatting>
  <conditionalFormatting sqref="F113">
    <cfRule type="expression" dxfId="500" priority="15">
      <formula>F113&gt;0</formula>
    </cfRule>
    <cfRule type="expression" dxfId="499" priority="16">
      <formula>F113&lt;0</formula>
    </cfRule>
  </conditionalFormatting>
  <conditionalFormatting sqref="H113">
    <cfRule type="expression" dxfId="498" priority="13">
      <formula>H113&gt;0</formula>
    </cfRule>
    <cfRule type="expression" dxfId="497" priority="14">
      <formula>H113&lt;0</formula>
    </cfRule>
  </conditionalFormatting>
  <conditionalFormatting sqref="J109">
    <cfRule type="expression" dxfId="496" priority="11">
      <formula>J109&gt;0</formula>
    </cfRule>
    <cfRule type="expression" dxfId="495" priority="12">
      <formula>J109&lt;0</formula>
    </cfRule>
  </conditionalFormatting>
  <conditionalFormatting sqref="F108:F112">
    <cfRule type="expression" dxfId="494" priority="9">
      <formula>F108&gt;0</formula>
    </cfRule>
    <cfRule type="expression" dxfId="493" priority="10">
      <formula>F108&lt;0</formula>
    </cfRule>
  </conditionalFormatting>
  <conditionalFormatting sqref="H108:H112">
    <cfRule type="expression" dxfId="492" priority="7">
      <formula>H108&gt;0</formula>
    </cfRule>
    <cfRule type="expression" dxfId="491" priority="8">
      <formula>H108&lt;0</formula>
    </cfRule>
  </conditionalFormatting>
  <conditionalFormatting sqref="J110:J113">
    <cfRule type="expression" dxfId="490" priority="5">
      <formula>J110&gt;0</formula>
    </cfRule>
    <cfRule type="expression" dxfId="489" priority="6">
      <formula>J110&lt;0</formula>
    </cfRule>
  </conditionalFormatting>
  <conditionalFormatting sqref="F25:F26">
    <cfRule type="expression" dxfId="488" priority="3">
      <formula>F25&gt;0</formula>
    </cfRule>
    <cfRule type="expression" dxfId="487" priority="4">
      <formula>F25&lt;0</formula>
    </cfRule>
  </conditionalFormatting>
  <conditionalFormatting sqref="Q9">
    <cfRule type="expression" dxfId="486" priority="1">
      <formula>Q9&gt;0</formula>
    </cfRule>
    <cfRule type="expression" dxfId="48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35.466428571428544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27.42</v>
      </c>
      <c r="R4" s="223">
        <v>3.39E-2</v>
      </c>
      <c r="T4" s="1">
        <v>43096</v>
      </c>
      <c r="U4" t="s">
        <v>785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7677.6</v>
      </c>
      <c r="U5" t="s">
        <v>786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9930.5999999999931</v>
      </c>
      <c r="U6" t="s">
        <v>787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-2177.9799999999909</v>
      </c>
      <c r="R7">
        <v>280</v>
      </c>
      <c r="U7" t="s">
        <v>788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-2252.9999999999909</v>
      </c>
      <c r="U8" t="s">
        <v>789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208</v>
      </c>
      <c r="Q9" s="134">
        <f>IF(Q2=0, 0, Q8/Q6)</f>
        <v>-0.22687450909310539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207</v>
      </c>
      <c r="P10" s="33"/>
      <c r="Q10" s="2">
        <f>M75</f>
        <v>75.019999999999982</v>
      </c>
      <c r="T10" s="1">
        <v>43103</v>
      </c>
      <c r="U10" t="s">
        <v>836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3.3552151714077313E-2</v>
      </c>
      <c r="R11">
        <f>0.23</f>
        <v>0.23</v>
      </c>
      <c r="U11" t="s">
        <v>837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946</v>
      </c>
      <c r="Q12" s="1"/>
      <c r="T12" s="1">
        <v>43110</v>
      </c>
      <c r="U12" t="s">
        <v>865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3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1"/>
        <v>2717.96</v>
      </c>
      <c r="O13" s="11" t="s">
        <v>973</v>
      </c>
      <c r="Q13">
        <f>Q4/2.67</f>
        <v>10.269662921348315</v>
      </c>
      <c r="T13" s="1">
        <v>43112</v>
      </c>
      <c r="U13" t="s">
        <v>861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862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864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900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3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30.162000000000003</v>
      </c>
      <c r="T19" s="1">
        <v>43125</v>
      </c>
      <c r="U19" t="s">
        <v>914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29.887800000000006</v>
      </c>
      <c r="T20" s="1">
        <v>43126</v>
      </c>
      <c r="U20" t="s">
        <v>912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29.613600000000005</v>
      </c>
      <c r="U21" t="s">
        <v>913</v>
      </c>
    </row>
    <row r="22" spans="1:21" x14ac:dyDescent="0.25">
      <c r="O22" s="81">
        <v>1.07</v>
      </c>
      <c r="P22" s="81">
        <f t="shared" si="4"/>
        <v>29.339400000000005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4"/>
        <v>29.065200000000004</v>
      </c>
      <c r="T23" s="1">
        <v>43128</v>
      </c>
      <c r="U23" t="s">
        <v>915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4"/>
        <v>28.791000000000004</v>
      </c>
    </row>
    <row r="25" spans="1:21" x14ac:dyDescent="0.25">
      <c r="O25" s="81">
        <v>1.04</v>
      </c>
      <c r="P25" s="81">
        <f t="shared" si="4"/>
        <v>28.516800000000003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497</v>
      </c>
      <c r="K26" s="186" t="s">
        <v>150</v>
      </c>
      <c r="L26" s="186" t="s">
        <v>973</v>
      </c>
      <c r="O26" s="81">
        <v>1.03</v>
      </c>
      <c r="P26" s="81">
        <f t="shared" si="4"/>
        <v>28.242600000000003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27.968400000000003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27.694200000000002</v>
      </c>
      <c r="T28" s="770">
        <v>43136</v>
      </c>
      <c r="U28" t="s">
        <v>863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27.42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27.145800000000001</v>
      </c>
      <c r="T30" s="1">
        <v>43175</v>
      </c>
      <c r="U30" t="s">
        <v>1118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26.871600000000001</v>
      </c>
      <c r="T31" s="1">
        <v>43178</v>
      </c>
      <c r="U31" t="s">
        <v>961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26.5974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26.3232</v>
      </c>
      <c r="T33" s="1">
        <v>43217</v>
      </c>
      <c r="U33" t="s">
        <v>1035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26.048999999999999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25.774799999999999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25.500600000000002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25.226400000000002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24.952200000000001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779</v>
      </c>
      <c r="J39" s="39"/>
      <c r="K39" s="39"/>
      <c r="L39" s="39"/>
      <c r="O39" s="81">
        <v>0.9</v>
      </c>
      <c r="P39" s="81">
        <f t="shared" si="4"/>
        <v>24.678000000000001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4" si="32">C61*(E61-D61)</f>
        <v>-4285.1000000000004</v>
      </c>
      <c r="G61" s="39">
        <f t="shared" ref="G61:G64" si="33">D61*C61</f>
        <v>15845.1</v>
      </c>
      <c r="H61" s="223">
        <f t="shared" ref="H61:H64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32"/>
        <v>-2329.6</v>
      </c>
      <c r="G64" s="39">
        <f t="shared" si="33"/>
        <v>9931.6</v>
      </c>
      <c r="H64" s="223">
        <f t="shared" si="34"/>
        <v>-0.23456442063715818</v>
      </c>
      <c r="I64" s="39" t="s">
        <v>1178</v>
      </c>
      <c r="J64" s="39"/>
      <c r="K64" s="39">
        <v>-2254</v>
      </c>
      <c r="L64" s="193">
        <v>10.17</v>
      </c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209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35">C96*(E96-D96)</f>
        <v>-94.799999999999898</v>
      </c>
      <c r="G96" s="251">
        <f t="shared" ref="G96:G102" si="36">D96*C96</f>
        <v>2401.8000000000002</v>
      </c>
      <c r="H96" s="265">
        <f t="shared" ref="H96:H102" si="37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35"/>
        <v>-86.100000000000136</v>
      </c>
      <c r="G97" s="251">
        <f t="shared" si="36"/>
        <v>1239.3000000000002</v>
      </c>
      <c r="H97" s="263">
        <f t="shared" si="37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35"/>
        <v>-54.000000000000128</v>
      </c>
      <c r="G98" s="251">
        <f t="shared" si="36"/>
        <v>1239.3000000000002</v>
      </c>
      <c r="H98" s="263">
        <f t="shared" si="37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35"/>
        <v>-29.849999999999923</v>
      </c>
      <c r="G99" s="251">
        <f t="shared" si="36"/>
        <v>1239.1500000000001</v>
      </c>
      <c r="H99" s="263">
        <f t="shared" si="37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35"/>
        <v>-9.7500000000000853</v>
      </c>
      <c r="G100" s="251">
        <f t="shared" si="36"/>
        <v>1239.1500000000001</v>
      </c>
      <c r="H100" s="263">
        <f t="shared" si="37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35"/>
        <v>-51.449999999999889</v>
      </c>
      <c r="G101" s="251">
        <f t="shared" si="36"/>
        <v>1239.1500000000001</v>
      </c>
      <c r="H101" s="263">
        <f t="shared" si="37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35"/>
        <v>1.9499999999999318</v>
      </c>
      <c r="G102" s="251">
        <f t="shared" si="36"/>
        <v>1239.1500000000001</v>
      </c>
      <c r="H102" s="263">
        <f t="shared" si="37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">
    <cfRule type="expression" dxfId="473" priority="71">
      <formula>F31&gt;0</formula>
    </cfRule>
    <cfRule type="expression" dxfId="472" priority="72">
      <formula>F31&lt;0</formula>
    </cfRule>
  </conditionalFormatting>
  <conditionalFormatting sqref="H31:H33">
    <cfRule type="expression" dxfId="471" priority="69">
      <formula>H31&gt;0</formula>
    </cfRule>
    <cfRule type="expression" dxfId="470" priority="70">
      <formula>H31&lt;0</formula>
    </cfRule>
  </conditionalFormatting>
  <conditionalFormatting sqref="H34">
    <cfRule type="expression" dxfId="469" priority="67">
      <formula>H34&gt;0</formula>
    </cfRule>
    <cfRule type="expression" dxfId="468" priority="68">
      <formula>H34&lt;0</formula>
    </cfRule>
  </conditionalFormatting>
  <conditionalFormatting sqref="H35">
    <cfRule type="expression" dxfId="467" priority="65">
      <formula>H35&gt;0</formula>
    </cfRule>
    <cfRule type="expression" dxfId="466" priority="66">
      <formula>H35&lt;0</formula>
    </cfRule>
  </conditionalFormatting>
  <conditionalFormatting sqref="F27:F30">
    <cfRule type="expression" dxfId="465" priority="61">
      <formula>F27&gt;0</formula>
    </cfRule>
    <cfRule type="expression" dxfId="464" priority="62">
      <formula>F27&lt;0</formula>
    </cfRule>
  </conditionalFormatting>
  <conditionalFormatting sqref="H27:H30">
    <cfRule type="expression" dxfId="463" priority="59">
      <formula>H27&gt;0</formula>
    </cfRule>
    <cfRule type="expression" dxfId="462" priority="60">
      <formula>H27&lt;0</formula>
    </cfRule>
  </conditionalFormatting>
  <conditionalFormatting sqref="F36:F37">
    <cfRule type="expression" dxfId="461" priority="55">
      <formula>F36&gt;0</formula>
    </cfRule>
    <cfRule type="expression" dxfId="460" priority="56">
      <formula>F36&lt;0</formula>
    </cfRule>
  </conditionalFormatting>
  <conditionalFormatting sqref="I31:L33">
    <cfRule type="expression" dxfId="459" priority="53">
      <formula>I31&gt;0</formula>
    </cfRule>
    <cfRule type="expression" dxfId="458" priority="54">
      <formula>I31&lt;0</formula>
    </cfRule>
  </conditionalFormatting>
  <conditionalFormatting sqref="I40:I45 I37:L38">
    <cfRule type="expression" dxfId="457" priority="47">
      <formula>I37&gt;0</formula>
    </cfRule>
    <cfRule type="expression" dxfId="456" priority="48">
      <formula>I37&lt;0</formula>
    </cfRule>
  </conditionalFormatting>
  <conditionalFormatting sqref="I27:L30">
    <cfRule type="expression" dxfId="455" priority="45">
      <formula>I27&gt;0</formula>
    </cfRule>
    <cfRule type="expression" dxfId="454" priority="46">
      <formula>I27&lt;0</formula>
    </cfRule>
  </conditionalFormatting>
  <conditionalFormatting sqref="F38:F49">
    <cfRule type="expression" dxfId="453" priority="43">
      <formula>F38&gt;0</formula>
    </cfRule>
    <cfRule type="expression" dxfId="452" priority="44">
      <formula>F38&lt;0</formula>
    </cfRule>
  </conditionalFormatting>
  <conditionalFormatting sqref="Q8">
    <cfRule type="expression" dxfId="451" priority="39">
      <formula>Q8&gt;0</formula>
    </cfRule>
    <cfRule type="expression" dxfId="450" priority="40">
      <formula>Q8&lt;0</formula>
    </cfRule>
  </conditionalFormatting>
  <conditionalFormatting sqref="Q7">
    <cfRule type="expression" dxfId="449" priority="41">
      <formula>Q7&gt;0</formula>
    </cfRule>
    <cfRule type="expression" dxfId="448" priority="42">
      <formula>Q7&lt;0</formula>
    </cfRule>
  </conditionalFormatting>
  <conditionalFormatting sqref="F97:F101">
    <cfRule type="expression" dxfId="447" priority="37">
      <formula>F97&gt;0</formula>
    </cfRule>
    <cfRule type="expression" dxfId="446" priority="38">
      <formula>F97&lt;0</formula>
    </cfRule>
  </conditionalFormatting>
  <conditionalFormatting sqref="H97:H99">
    <cfRule type="expression" dxfId="445" priority="35">
      <formula>H97&gt;0</formula>
    </cfRule>
    <cfRule type="expression" dxfId="444" priority="36">
      <formula>H97&lt;0</formula>
    </cfRule>
  </conditionalFormatting>
  <conditionalFormatting sqref="H100">
    <cfRule type="expression" dxfId="443" priority="33">
      <formula>H100&gt;0</formula>
    </cfRule>
    <cfRule type="expression" dxfId="442" priority="34">
      <formula>H100&lt;0</formula>
    </cfRule>
  </conditionalFormatting>
  <conditionalFormatting sqref="H101">
    <cfRule type="expression" dxfId="441" priority="31">
      <formula>H101&gt;0</formula>
    </cfRule>
    <cfRule type="expression" dxfId="440" priority="32">
      <formula>H101&lt;0</formula>
    </cfRule>
  </conditionalFormatting>
  <conditionalFormatting sqref="H102:H111">
    <cfRule type="expression" dxfId="439" priority="29">
      <formula>H102&gt;0</formula>
    </cfRule>
    <cfRule type="expression" dxfId="438" priority="30">
      <formula>H102&lt;0</formula>
    </cfRule>
  </conditionalFormatting>
  <conditionalFormatting sqref="F93:F96">
    <cfRule type="expression" dxfId="437" priority="27">
      <formula>F93&gt;0</formula>
    </cfRule>
    <cfRule type="expression" dxfId="436" priority="28">
      <formula>F93&lt;0</formula>
    </cfRule>
  </conditionalFormatting>
  <conditionalFormatting sqref="H93:H96">
    <cfRule type="expression" dxfId="435" priority="25">
      <formula>H93&gt;0</formula>
    </cfRule>
    <cfRule type="expression" dxfId="434" priority="26">
      <formula>H93&lt;0</formula>
    </cfRule>
  </conditionalFormatting>
  <conditionalFormatting sqref="F102:F103">
    <cfRule type="expression" dxfId="433" priority="23">
      <formula>F102&gt;0</formula>
    </cfRule>
    <cfRule type="expression" dxfId="432" priority="24">
      <formula>F102&lt;0</formula>
    </cfRule>
  </conditionalFormatting>
  <conditionalFormatting sqref="I97:I99">
    <cfRule type="expression" dxfId="431" priority="21">
      <formula>I97&gt;0</formula>
    </cfRule>
    <cfRule type="expression" dxfId="430" priority="22">
      <formula>I97&lt;0</formula>
    </cfRule>
  </conditionalFormatting>
  <conditionalFormatting sqref="I100">
    <cfRule type="expression" dxfId="429" priority="19">
      <formula>I100&gt;0</formula>
    </cfRule>
    <cfRule type="expression" dxfId="428" priority="20">
      <formula>I100&lt;0</formula>
    </cfRule>
  </conditionalFormatting>
  <conditionalFormatting sqref="I101">
    <cfRule type="expression" dxfId="427" priority="17">
      <formula>I101&gt;0</formula>
    </cfRule>
    <cfRule type="expression" dxfId="426" priority="18">
      <formula>I101&lt;0</formula>
    </cfRule>
  </conditionalFormatting>
  <conditionalFormatting sqref="I102:I111">
    <cfRule type="expression" dxfId="425" priority="15">
      <formula>I102&gt;0</formula>
    </cfRule>
    <cfRule type="expression" dxfId="424" priority="16">
      <formula>I102&lt;0</formula>
    </cfRule>
  </conditionalFormatting>
  <conditionalFormatting sqref="I93:I96">
    <cfRule type="expression" dxfId="423" priority="13">
      <formula>I93&gt;0</formula>
    </cfRule>
    <cfRule type="expression" dxfId="422" priority="14">
      <formula>I93&lt;0</formula>
    </cfRule>
  </conditionalFormatting>
  <conditionalFormatting sqref="F104">
    <cfRule type="expression" dxfId="421" priority="11">
      <formula>F104&gt;0</formula>
    </cfRule>
    <cfRule type="expression" dxfId="420" priority="12">
      <formula>F104&lt;0</formula>
    </cfRule>
  </conditionalFormatting>
  <conditionalFormatting sqref="F52:F54 H53:H54 H52:L52">
    <cfRule type="expression" dxfId="419" priority="9">
      <formula>F52&gt;0</formula>
    </cfRule>
    <cfRule type="expression" dxfId="418" priority="10">
      <formula>F52&lt;0</formula>
    </cfRule>
  </conditionalFormatting>
  <conditionalFormatting sqref="R4">
    <cfRule type="expression" dxfId="417" priority="7">
      <formula>R4&gt;0</formula>
    </cfRule>
    <cfRule type="expression" dxfId="416" priority="8">
      <formula>R4&lt;0</formula>
    </cfRule>
  </conditionalFormatting>
  <conditionalFormatting sqref="F58:F61 H58:K61">
    <cfRule type="expression" dxfId="415" priority="5">
      <formula>F58&gt;0</formula>
    </cfRule>
    <cfRule type="expression" dxfId="414" priority="6">
      <formula>F58&lt;0</formula>
    </cfRule>
  </conditionalFormatting>
  <conditionalFormatting sqref="H65:K70 F65:F70">
    <cfRule type="expression" dxfId="413" priority="1">
      <formula>F65&gt;0</formula>
    </cfRule>
    <cfRule type="expression" dxfId="412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65.97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65.97</v>
      </c>
      <c r="R4" s="475">
        <v>1.4E-3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207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72.567000000000007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71.907300000000006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71.247600000000006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70.587900000000005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69.928200000000004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69.268500000000003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68.608800000000002</v>
      </c>
      <c r="Q49" s="33"/>
      <c r="R49" s="33"/>
      <c r="T49" s="91" t="s">
        <v>121</v>
      </c>
      <c r="U49" s="86" t="s">
        <v>472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67.949100000000001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67.289400000000001</v>
      </c>
      <c r="Q51" s="81"/>
      <c r="R51" s="33"/>
      <c r="T51" s="91" t="s">
        <v>104</v>
      </c>
      <c r="U51" s="86" t="s">
        <v>631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66.6297</v>
      </c>
      <c r="Q52" s="81"/>
      <c r="R52" s="33"/>
      <c r="T52" s="91" t="s">
        <v>105</v>
      </c>
      <c r="U52" s="86" t="s">
        <v>500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65.97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65.310299999999998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64.650599999999997</v>
      </c>
      <c r="Q55" s="81"/>
      <c r="R55" s="33"/>
      <c r="T55" s="91" t="s">
        <v>107</v>
      </c>
      <c r="U55" s="86" t="s">
        <v>632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63.990899999999996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63.331199999999995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62.671499999999995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338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62.011799999999994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61.3521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60.692399999999999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60.032699999999998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59.372999999999998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91.94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91.94</v>
      </c>
      <c r="R4" s="475">
        <v>4.0000000000000002E-4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208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207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450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101.134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100.2146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99.295200000000008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98.375799999999998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207</v>
      </c>
      <c r="M40" s="2">
        <f>K56+M56-F56</f>
        <v>523.61999999999898</v>
      </c>
      <c r="O40" s="81">
        <v>1.06</v>
      </c>
      <c r="P40" s="81">
        <f t="shared" si="3"/>
        <v>97.456400000000002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96.537000000000006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95.617599999999996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94.6982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93.778800000000004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92.859399999999994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91.94</v>
      </c>
      <c r="Q46" s="2"/>
      <c r="T46" s="111" t="s">
        <v>103</v>
      </c>
      <c r="U46" s="104" t="s">
        <v>392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91.020600000000002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90.101199999999992</v>
      </c>
      <c r="Q48" s="2"/>
      <c r="T48" s="111" t="s">
        <v>104</v>
      </c>
      <c r="U48" s="104" t="s">
        <v>633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89.181799999999996</v>
      </c>
      <c r="T49" s="111" t="s">
        <v>105</v>
      </c>
      <c r="U49" s="104" t="s">
        <v>509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87.342999999999989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86.423599999999993</v>
      </c>
      <c r="T52" s="111" t="s">
        <v>107</v>
      </c>
      <c r="U52" s="104" t="s">
        <v>634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85.504199999999997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84.584800000000001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83.665400000000005</v>
      </c>
      <c r="T55" s="111" t="s">
        <v>108</v>
      </c>
      <c r="U55" s="104" t="s">
        <v>547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82.745999999999995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153.08000000000001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153.08000000000001</v>
      </c>
      <c r="R4" s="475">
        <v>1.44E-2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168.38800000000003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166.85720000000003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165.32640000000004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163.79560000000004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162.26480000000001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160.73400000000001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159.20320000000001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157.67240000000001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156.14160000000001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154.61080000000001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153.08000000000001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151.54920000000001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150.01840000000001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148.48760000000001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146.95680000000002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145.42600000000002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143.89520000000002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142.36440000000002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140.83360000000002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139.30280000000002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137.77200000000002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</v>
      </c>
      <c r="R4" s="475">
        <v>2.5499999999999998E-2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320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207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269.94000000000005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267.48600000000005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265.03200000000004</v>
      </c>
      <c r="Q44" s="2"/>
      <c r="T44" s="132" t="s">
        <v>99</v>
      </c>
      <c r="U44" s="86" t="s">
        <v>635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262.57800000000003</v>
      </c>
      <c r="Q45" s="2"/>
      <c r="T45" s="132" t="s">
        <v>100</v>
      </c>
      <c r="U45" s="86" t="s">
        <v>636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260.12400000000002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257.67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255.21600000000001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252.762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250.30800000000002</v>
      </c>
      <c r="Q50" s="2"/>
      <c r="T50" s="132" t="s">
        <v>104</v>
      </c>
      <c r="U50" s="86" t="s">
        <v>637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247.85400000000001</v>
      </c>
      <c r="Q51" s="2"/>
      <c r="T51" s="132" t="s">
        <v>105</v>
      </c>
      <c r="U51" s="86" t="s">
        <v>496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242.946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240.49199999999999</v>
      </c>
      <c r="Q54" s="2"/>
      <c r="T54" s="132" t="s">
        <v>107</v>
      </c>
      <c r="U54" s="86" t="s">
        <v>638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238.03800000000001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235.584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233.13</v>
      </c>
      <c r="T57" s="132" t="s">
        <v>108</v>
      </c>
      <c r="U57" s="86" t="s">
        <v>548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230.67599999999999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228.22200000000001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225.76800000000003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223.31400000000002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242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70.92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70.92</v>
      </c>
      <c r="R4" s="475">
        <v>1.14E-2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208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207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78.012000000000015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77.302800000000005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76.593600000000009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75.884399999999999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75.175200000000004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74.466000000000008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73.756799999999998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73.047600000000003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72.338400000000007</v>
      </c>
      <c r="Q49" s="2"/>
      <c r="T49" s="91" t="s">
        <v>121</v>
      </c>
      <c r="U49" s="86" t="s">
        <v>341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71.629199999999997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70.92</v>
      </c>
      <c r="Q51" s="2"/>
      <c r="T51" s="91" t="s">
        <v>104</v>
      </c>
      <c r="U51" s="86" t="s">
        <v>667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70.210800000000006</v>
      </c>
      <c r="Q52" s="2"/>
      <c r="T52" s="91" t="s">
        <v>105</v>
      </c>
      <c r="U52" s="86" t="s">
        <v>321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69.501599999999996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68.792400000000001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68.083200000000005</v>
      </c>
      <c r="T55" s="91" t="s">
        <v>107</v>
      </c>
      <c r="U55" s="86" t="s">
        <v>668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67.373999999999995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66.6648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65.955600000000004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65.246400000000008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64.537199999999999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63.828000000000003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50.04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50.04</v>
      </c>
      <c r="R4" s="492">
        <v>1.09E-2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226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207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55.044000000000004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54.543600000000005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54.043200000000006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53.5428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53.042400000000001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52.542000000000002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52.041600000000003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51.541200000000003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51.040799999999997</v>
      </c>
      <c r="Q49" s="2"/>
      <c r="T49" s="91" t="s">
        <v>103</v>
      </c>
      <c r="U49" s="86" t="s">
        <v>639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50.540399999999998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50.04</v>
      </c>
      <c r="Q51" s="2"/>
      <c r="T51" s="91" t="s">
        <v>104</v>
      </c>
      <c r="U51" s="86" t="s">
        <v>640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49.5396</v>
      </c>
      <c r="Q52" s="2"/>
      <c r="T52" s="91" t="s">
        <v>105</v>
      </c>
      <c r="U52" s="86" t="s">
        <v>326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49.039200000000001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48.538799999999995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48.038399999999996</v>
      </c>
      <c r="T55" s="91" t="s">
        <v>107</v>
      </c>
      <c r="U55" s="86" t="s">
        <v>641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47.537999999999997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47.037599999999998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46.537199999999999</v>
      </c>
      <c r="T58" s="91" t="s">
        <v>108</v>
      </c>
      <c r="U58" s="86" t="s">
        <v>549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46.036799999999999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45.5364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45.036000000000001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333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363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396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401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436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200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47.110650000000007</v>
      </c>
      <c r="T3" s="29">
        <v>42565</v>
      </c>
      <c r="U3" t="s">
        <v>232</v>
      </c>
    </row>
    <row r="4" spans="1:21" x14ac:dyDescent="0.25">
      <c r="B4" s="474">
        <v>43278</v>
      </c>
      <c r="C4" s="4">
        <v>50</v>
      </c>
      <c r="D4" s="3">
        <v>49.88</v>
      </c>
      <c r="E4" s="3">
        <v>0</v>
      </c>
      <c r="F4" s="3">
        <f>C4*D4+E4</f>
        <v>2494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49.58</v>
      </c>
      <c r="R4" s="494">
        <v>9.7999999999999997E-3</v>
      </c>
      <c r="T4" s="29">
        <v>42568</v>
      </c>
      <c r="U4" t="s">
        <v>241</v>
      </c>
    </row>
    <row r="5" spans="1:21" x14ac:dyDescent="0.25">
      <c r="B5" s="474">
        <v>43279</v>
      </c>
      <c r="C5" s="4">
        <v>50</v>
      </c>
      <c r="D5" s="3">
        <v>49.08</v>
      </c>
      <c r="E5" s="3">
        <v>0</v>
      </c>
      <c r="F5" s="3">
        <f>C5*D5+E5</f>
        <v>2454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9916</v>
      </c>
      <c r="T5" s="29">
        <v>42592</v>
      </c>
      <c r="U5" t="s">
        <v>259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9422.130000000001</v>
      </c>
      <c r="T6" s="29">
        <v>42647</v>
      </c>
      <c r="U6" t="s">
        <v>263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1692.3399999999961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493.86999999999898</v>
      </c>
      <c r="R8" s="411"/>
      <c r="T8" s="29">
        <v>43202</v>
      </c>
      <c r="U8" t="s">
        <v>998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208</v>
      </c>
      <c r="Q9" s="134">
        <f>IF(Q2=0, 0, Q8/Q6)</f>
        <v>5.2415961146789411E-2</v>
      </c>
      <c r="T9" s="29"/>
      <c r="U9" s="475" t="s">
        <v>999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207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2.4606696248487294E-2</v>
      </c>
      <c r="R11">
        <f>0.305</f>
        <v>0.30499999999999999</v>
      </c>
      <c r="T11" s="29">
        <v>43257</v>
      </c>
      <c r="U11" t="s">
        <v>1121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995</v>
      </c>
      <c r="Q12" s="1" t="s">
        <v>1177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 s="2">
        <f>Q4/6.24</f>
        <v>7.9455128205128203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300</v>
      </c>
      <c r="D29" s="18"/>
      <c r="E29" s="18"/>
      <c r="F29" s="18">
        <f>SUM(F2:F19)</f>
        <v>15061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6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6" si="6">D42*C42</f>
        <v>4474.1000000000004</v>
      </c>
      <c r="H42" s="222">
        <f t="shared" ref="H42:H46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54.538000000000004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3"/>
        <v>515.37000000000012</v>
      </c>
      <c r="G44" s="39">
        <f t="shared" si="6"/>
        <v>6968.13</v>
      </c>
      <c r="H44" s="222">
        <f t="shared" si="7"/>
        <v>7.3961019670987782E-2</v>
      </c>
      <c r="I44" s="39"/>
      <c r="J44" s="39">
        <v>1714</v>
      </c>
      <c r="O44" s="81">
        <v>1.0900000000000001</v>
      </c>
      <c r="P44" s="81">
        <f t="shared" ref="P44:P63" si="8">O44*$Q$4</f>
        <v>54.042200000000001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3"/>
        <v>537.85999999999922</v>
      </c>
      <c r="G45" s="39">
        <f t="shared" si="6"/>
        <v>9422.14</v>
      </c>
      <c r="H45" s="222">
        <f t="shared" si="7"/>
        <v>5.7084696257962537E-2</v>
      </c>
      <c r="I45" s="39"/>
      <c r="J45" s="39">
        <v>1736</v>
      </c>
      <c r="O45" s="81">
        <v>1.08</v>
      </c>
      <c r="P45" s="81">
        <f t="shared" si="8"/>
        <v>53.546399999999998</v>
      </c>
      <c r="Q45" s="2"/>
    </row>
    <row r="46" spans="1:17" x14ac:dyDescent="0.25">
      <c r="A46">
        <v>100</v>
      </c>
      <c r="B46" s="184">
        <v>43283</v>
      </c>
      <c r="C46" s="10">
        <v>200</v>
      </c>
      <c r="D46" s="39">
        <v>47.110700000000001</v>
      </c>
      <c r="E46" s="39">
        <v>49.92</v>
      </c>
      <c r="F46" s="39">
        <f t="shared" si="3"/>
        <v>561.86000000000013</v>
      </c>
      <c r="G46" s="39">
        <f t="shared" si="6"/>
        <v>9422.14</v>
      </c>
      <c r="H46" s="222">
        <f t="shared" si="7"/>
        <v>5.9631888297138447E-2</v>
      </c>
      <c r="I46" s="39"/>
      <c r="J46" s="39">
        <v>1760</v>
      </c>
      <c r="O46" s="81">
        <v>1.07</v>
      </c>
      <c r="P46" s="81">
        <f t="shared" si="8"/>
        <v>53.050600000000003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52.5548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52.058999999999997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51.563200000000002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51.067399999999999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50.571599999999997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50.075800000000001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49.58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49.084199999999996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48.5884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48.092599999999997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47.596799999999995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47.100999999999999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46.605199999999996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46.109400000000001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45.613599999999998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45.117800000000003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44.622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207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260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329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771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23.92</v>
      </c>
      <c r="T3" s="1">
        <v>43088</v>
      </c>
      <c r="U3" t="s">
        <v>776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23.92</v>
      </c>
      <c r="R4" s="475">
        <v>-3.1600000000000003E-2</v>
      </c>
      <c r="U4" t="s">
        <v>777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841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930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946</v>
      </c>
      <c r="T12" s="1">
        <v>43223</v>
      </c>
      <c r="U12" t="s">
        <v>1049</v>
      </c>
    </row>
    <row r="13" spans="1:29" x14ac:dyDescent="0.25">
      <c r="O13" s="11" t="s">
        <v>973</v>
      </c>
      <c r="Q13" s="2">
        <f>Q4/2.45</f>
        <v>9.7632653061224488</v>
      </c>
      <c r="U13" t="s">
        <v>1051</v>
      </c>
    </row>
    <row r="15" spans="1:29" x14ac:dyDescent="0.25">
      <c r="T15" s="1">
        <v>43224</v>
      </c>
      <c r="U15" t="s">
        <v>1055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26.312000000000005</v>
      </c>
      <c r="T17" s="1">
        <v>43235</v>
      </c>
      <c r="U17" t="s">
        <v>1080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26.072800000000004</v>
      </c>
      <c r="U18" t="s">
        <v>1081</v>
      </c>
    </row>
    <row r="19" spans="1:21" x14ac:dyDescent="0.25">
      <c r="O19" s="81">
        <v>1.08</v>
      </c>
      <c r="P19" s="81">
        <f t="shared" si="0"/>
        <v>25.833600000000004</v>
      </c>
    </row>
    <row r="20" spans="1:21" x14ac:dyDescent="0.25">
      <c r="A20" s="182" t="s">
        <v>229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497</v>
      </c>
      <c r="O20" s="81">
        <v>1.07</v>
      </c>
      <c r="P20" s="81">
        <f t="shared" si="0"/>
        <v>25.594400000000004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25.355200000000004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25.116000000000003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24.876800000000003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24.637600000000003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24.398400000000002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24.159200000000002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23.92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23.680800000000001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23.441600000000001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1052</v>
      </c>
      <c r="J30" s="727">
        <v>566</v>
      </c>
      <c r="K30" s="727"/>
      <c r="O30" s="81">
        <v>0.97</v>
      </c>
      <c r="P30" s="81">
        <f t="shared" si="0"/>
        <v>23.202400000000001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1053</v>
      </c>
      <c r="J31" s="727">
        <v>116</v>
      </c>
      <c r="K31" s="727"/>
      <c r="O31" s="81">
        <v>0.96</v>
      </c>
      <c r="P31" s="81">
        <f t="shared" si="0"/>
        <v>22.963200000000001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22.724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22.4848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22.245600000000003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22.006400000000003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21.767200000000003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21.528000000000002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209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329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229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360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763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105.34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105.34</v>
      </c>
      <c r="R4" s="475">
        <v>1.2500000000000001E-2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115.87400000000001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114.82060000000001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113.76720000000002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112.71380000000001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111.66040000000001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110.60700000000001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109.5536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108.50020000000001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107.44680000000001</v>
      </c>
      <c r="Q49" s="2"/>
      <c r="T49" s="91" t="s">
        <v>103</v>
      </c>
      <c r="U49" s="86" t="s">
        <v>514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106.3934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105.34</v>
      </c>
      <c r="Q51" s="2"/>
      <c r="T51" s="91" t="s">
        <v>104</v>
      </c>
      <c r="U51" s="86" t="s">
        <v>642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104.28660000000001</v>
      </c>
      <c r="Q52" s="2"/>
      <c r="T52" s="91" t="s">
        <v>105</v>
      </c>
      <c r="U52" s="86" t="s">
        <v>643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103.2332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102.1798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101.1264</v>
      </c>
      <c r="T55" s="91" t="s">
        <v>107</v>
      </c>
      <c r="U55" s="86" t="s">
        <v>644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100.07299999999999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99.019599999999997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97.966200000000015</v>
      </c>
      <c r="T58" s="91" t="s">
        <v>108</v>
      </c>
      <c r="U58" s="86" t="s">
        <v>533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96.912800000000004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95.859400000000008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94.806000000000012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</v>
      </c>
      <c r="R4" s="475">
        <v>4.2099999999999999E-2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208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207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497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5.7200000000000006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5.668000000000001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5.6160000000000005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293</v>
      </c>
      <c r="J44" s="39"/>
      <c r="K44" s="39"/>
      <c r="O44" s="81">
        <v>1.07</v>
      </c>
      <c r="P44" s="81">
        <f t="shared" si="7"/>
        <v>5.5640000000000009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5.5120000000000005</v>
      </c>
      <c r="Q45" s="2"/>
      <c r="T45" s="91" t="s">
        <v>99</v>
      </c>
      <c r="U45" s="86" t="s">
        <v>645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5.4600000000000009</v>
      </c>
      <c r="Q46" s="2"/>
      <c r="T46" s="91" t="s">
        <v>100</v>
      </c>
      <c r="U46" s="86" t="s">
        <v>646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300</v>
      </c>
      <c r="J47" s="39"/>
      <c r="K47" s="39"/>
      <c r="O47" s="81">
        <v>1.04</v>
      </c>
      <c r="P47" s="81">
        <f t="shared" si="7"/>
        <v>5.4080000000000004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5.3560000000000008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5.3040000000000003</v>
      </c>
      <c r="Q49" s="2"/>
      <c r="T49" s="91" t="s">
        <v>121</v>
      </c>
      <c r="U49" s="86" t="s">
        <v>422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5.2520000000000007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5.2</v>
      </c>
      <c r="Q51" s="2"/>
      <c r="T51" s="91" t="s">
        <v>104</v>
      </c>
      <c r="U51" s="86" t="s">
        <v>647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5.1479999999999997</v>
      </c>
      <c r="Q52" s="2"/>
      <c r="T52" s="91" t="s">
        <v>105</v>
      </c>
      <c r="U52" s="86" t="s">
        <v>519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5.0960000000000001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5.0439999999999996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4.992</v>
      </c>
      <c r="T55" s="91" t="s">
        <v>107</v>
      </c>
      <c r="U55" s="86" t="s">
        <v>648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4.9399999999999995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4.8879999999999999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4.8360000000000003</v>
      </c>
      <c r="T58" s="91" t="s">
        <v>108</v>
      </c>
      <c r="U58" s="86" t="s">
        <v>550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4.7840000000000007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4.7320000000000002</v>
      </c>
    </row>
    <row r="61" spans="1:21" x14ac:dyDescent="0.25">
      <c r="A61" t="s">
        <v>346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4.6800000000000006</v>
      </c>
    </row>
    <row r="62" spans="1:21" x14ac:dyDescent="0.25">
      <c r="A62" t="s">
        <v>353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354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395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398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444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447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460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461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207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809</v>
      </c>
      <c r="W2" t="s">
        <v>807</v>
      </c>
      <c r="X2" s="739" t="s">
        <v>791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72.81</v>
      </c>
      <c r="U3" t="s">
        <v>810</v>
      </c>
      <c r="X3" s="739" t="s">
        <v>792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72.81</v>
      </c>
      <c r="R4" s="475">
        <v>2.0799999999999999E-2</v>
      </c>
      <c r="U4" t="s">
        <v>811</v>
      </c>
      <c r="X4" s="739" t="s">
        <v>793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794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818</v>
      </c>
      <c r="AF5" s="738" t="s">
        <v>818</v>
      </c>
      <c r="AG5" s="738" t="s">
        <v>818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821</v>
      </c>
      <c r="X6" s="739" t="s">
        <v>795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796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856</v>
      </c>
      <c r="X8" s="739" t="s">
        <v>808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208</v>
      </c>
      <c r="Q9" s="134">
        <f>IF(Q2=0, 0, Q8/Q6)</f>
        <v>0</v>
      </c>
      <c r="U9" t="s">
        <v>875</v>
      </c>
      <c r="X9" s="739" t="s">
        <v>819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M54</f>
        <v>810.1299999999901</v>
      </c>
      <c r="X10" s="739" t="s">
        <v>820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2.8567504463672573E-2</v>
      </c>
      <c r="R11">
        <f>0.52</f>
        <v>0.52</v>
      </c>
      <c r="T11" s="1">
        <v>43112</v>
      </c>
      <c r="U11" t="s">
        <v>872</v>
      </c>
      <c r="X11" s="739" t="s">
        <v>805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>
        <f>Q4/6.46</f>
        <v>11.270897832817338</v>
      </c>
      <c r="T13" s="1">
        <v>43114</v>
      </c>
      <c r="U13" t="s">
        <v>876</v>
      </c>
      <c r="W13" t="s">
        <v>806</v>
      </c>
      <c r="X13" s="739" t="s">
        <v>797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874</v>
      </c>
      <c r="X14" s="739" t="s">
        <v>798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873</v>
      </c>
      <c r="X15" s="739" t="s">
        <v>799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800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891</v>
      </c>
      <c r="X17" s="739" t="s">
        <v>801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907</v>
      </c>
      <c r="X18" s="739" t="s">
        <v>802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877</v>
      </c>
      <c r="X19" s="739" t="s">
        <v>803</v>
      </c>
      <c r="Y19" s="741">
        <v>0.03</v>
      </c>
      <c r="Z19" s="741">
        <v>0.05</v>
      </c>
      <c r="AA19" s="81" t="s">
        <v>818</v>
      </c>
      <c r="AB19" s="2" t="s">
        <v>818</v>
      </c>
      <c r="AC19" s="763" t="s">
        <v>818</v>
      </c>
      <c r="AD19" s="738" t="s">
        <v>818</v>
      </c>
      <c r="AE19" s="738" t="s">
        <v>818</v>
      </c>
      <c r="AF19" s="738">
        <v>0.02</v>
      </c>
      <c r="AG19" s="738" t="s">
        <v>818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804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1043</v>
      </c>
      <c r="X21" s="739" t="s">
        <v>796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1048</v>
      </c>
      <c r="X22" s="739" t="s">
        <v>808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819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820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56</v>
      </c>
      <c r="X25" s="739" t="s">
        <v>805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497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5" si="23">C33*(E33-D33)</f>
        <v>-282.99999999999983</v>
      </c>
      <c r="G33" s="39">
        <f t="shared" ref="G33:G35" si="24">D33*C33</f>
        <v>3554</v>
      </c>
      <c r="H33" s="222">
        <f t="shared" ref="H33:H35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23"/>
        <v>-9.0000000000003411</v>
      </c>
      <c r="G35" s="39">
        <f t="shared" si="24"/>
        <v>3525.5000000000005</v>
      </c>
      <c r="H35" s="223">
        <f t="shared" si="25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80.091000000000008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79.36290000000001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78.634800000000013</v>
      </c>
      <c r="Q45" s="2"/>
      <c r="T45" s="91" t="s">
        <v>99</v>
      </c>
      <c r="U45" s="86" t="s">
        <v>649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77.906700000000001</v>
      </c>
      <c r="Q46" s="2"/>
      <c r="T46" s="91" t="s">
        <v>100</v>
      </c>
      <c r="U46" s="86" t="s">
        <v>650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77.178600000000003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76.450500000000005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75.722400000000007</v>
      </c>
      <c r="Q49" s="2"/>
      <c r="T49" s="91" t="s">
        <v>103</v>
      </c>
      <c r="U49" s="86" t="s">
        <v>551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74.99430000000001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74.266199999999998</v>
      </c>
      <c r="Q51" s="2"/>
      <c r="T51" s="91" t="s">
        <v>104</v>
      </c>
      <c r="U51" s="86" t="s">
        <v>651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73.5381</v>
      </c>
      <c r="Q52" s="2"/>
      <c r="T52" s="91" t="s">
        <v>105</v>
      </c>
      <c r="U52" s="86" t="s">
        <v>412</v>
      </c>
      <c r="V52" s="86"/>
    </row>
    <row r="53" spans="1:22" x14ac:dyDescent="0.25">
      <c r="O53" s="81">
        <v>1</v>
      </c>
      <c r="P53" s="81">
        <f t="shared" si="26"/>
        <v>72.81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72.081900000000005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71.353800000000007</v>
      </c>
      <c r="Q55" s="2"/>
      <c r="T55" s="91" t="s">
        <v>107</v>
      </c>
      <c r="U55" s="86" t="s">
        <v>652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70.625699999999995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69.897599999999997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69.169499999999999</v>
      </c>
      <c r="T58" s="91" t="s">
        <v>108</v>
      </c>
      <c r="U58" s="86" t="s">
        <v>552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68.441400000000002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67.713300000000004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66.985200000000006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66.257100000000008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65.529000000000011</v>
      </c>
    </row>
    <row r="64" spans="1:22" x14ac:dyDescent="0.25">
      <c r="A64" s="384" t="s">
        <v>210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497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246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302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312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339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358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372</v>
      </c>
      <c r="J182" s="362"/>
      <c r="K182" s="362"/>
      <c r="L182" s="362"/>
    </row>
    <row r="183" spans="1:12" x14ac:dyDescent="0.25">
      <c r="A183" s="362" t="s">
        <v>358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394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339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407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425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428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442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394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39">C207*(E207-D207)</f>
        <v>39.000000000000057</v>
      </c>
      <c r="G207" s="802">
        <f t="shared" ref="G207:G225" si="40">D207*C207</f>
        <v>4094</v>
      </c>
      <c r="H207" s="806">
        <f t="shared" ref="H207:H225" si="41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39"/>
        <v>160.99999999999994</v>
      </c>
      <c r="G208" s="802">
        <f t="shared" si="40"/>
        <v>4094</v>
      </c>
      <c r="H208" s="806">
        <f t="shared" si="41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39"/>
        <v>43.500000000000227</v>
      </c>
      <c r="G209" s="802">
        <f t="shared" si="40"/>
        <v>8184.5</v>
      </c>
      <c r="H209" s="806">
        <f t="shared" si="41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39"/>
        <v>93.9</v>
      </c>
      <c r="G210" s="802">
        <f t="shared" si="40"/>
        <v>4005.1000000000004</v>
      </c>
      <c r="H210" s="806">
        <f t="shared" si="41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39"/>
        <v>78.900000000000148</v>
      </c>
      <c r="G211" s="802">
        <f t="shared" si="40"/>
        <v>8089.1</v>
      </c>
      <c r="H211" s="803">
        <f t="shared" si="41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39"/>
        <v>-791.10000000000014</v>
      </c>
      <c r="G212" s="802">
        <f t="shared" si="40"/>
        <v>11783.1</v>
      </c>
      <c r="H212" s="803">
        <f t="shared" si="41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39"/>
        <v>-341.19000000000028</v>
      </c>
      <c r="G213" s="802">
        <f t="shared" si="40"/>
        <v>7969.1900000000005</v>
      </c>
      <c r="H213" s="803">
        <f t="shared" si="41"/>
        <v>-4.2813636015705522E-2</v>
      </c>
      <c r="I213" s="808" t="s">
        <v>756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39"/>
        <v>-623.00000000000045</v>
      </c>
      <c r="G214" s="802">
        <f t="shared" si="40"/>
        <v>7969</v>
      </c>
      <c r="H214" s="803">
        <f t="shared" si="41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39"/>
        <v>-875.99999999999841</v>
      </c>
      <c r="G215" s="802">
        <f t="shared" si="40"/>
        <v>11548.5</v>
      </c>
      <c r="H215" s="803">
        <f t="shared" si="41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39"/>
        <v>-472.27999999999923</v>
      </c>
      <c r="G216" s="802">
        <f t="shared" si="40"/>
        <v>7839.28</v>
      </c>
      <c r="H216" s="803">
        <f t="shared" si="41"/>
        <v>-6.0245328652631269E-2</v>
      </c>
      <c r="I216" s="808" t="s">
        <v>766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39"/>
        <v>-550.27500000000134</v>
      </c>
      <c r="G217" s="802">
        <f t="shared" si="40"/>
        <v>11503.275000000001</v>
      </c>
      <c r="H217" s="803">
        <f t="shared" si="41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39"/>
        <v>-651.29999999999984</v>
      </c>
      <c r="G218" s="802">
        <f t="shared" si="40"/>
        <v>11451.3</v>
      </c>
      <c r="H218" s="803">
        <f t="shared" si="41"/>
        <v>-5.6875638573786365E-2</v>
      </c>
      <c r="I218" s="804" t="s">
        <v>822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39"/>
        <v>-706.00000000000023</v>
      </c>
      <c r="G219" s="802">
        <f t="shared" si="40"/>
        <v>15034</v>
      </c>
      <c r="H219" s="803">
        <f t="shared" si="41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39"/>
        <v>-239.85000000000056</v>
      </c>
      <c r="G220" s="802">
        <f t="shared" si="40"/>
        <v>11354.85</v>
      </c>
      <c r="H220" s="806">
        <f t="shared" si="41"/>
        <v>-2.1123132405976353E-2</v>
      </c>
      <c r="I220" s="808" t="s">
        <v>827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39"/>
        <v>-177.40000000000009</v>
      </c>
      <c r="G221" s="802">
        <f t="shared" si="40"/>
        <v>7629.4</v>
      </c>
      <c r="H221" s="803">
        <f t="shared" si="41"/>
        <v>-2.3252156132854498E-2</v>
      </c>
      <c r="I221" s="808" t="s">
        <v>853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39"/>
        <v>180.99999999999881</v>
      </c>
      <c r="G222" s="802">
        <f t="shared" si="40"/>
        <v>7629.0000000000009</v>
      </c>
      <c r="H222" s="803">
        <f t="shared" si="41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39"/>
        <v>241.99999999999875</v>
      </c>
      <c r="G223" s="802">
        <f t="shared" si="40"/>
        <v>7629.0000000000009</v>
      </c>
      <c r="H223" s="803">
        <f t="shared" si="41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39"/>
        <v>544.99999999999886</v>
      </c>
      <c r="G224" s="802">
        <f t="shared" si="40"/>
        <v>7629.0000000000009</v>
      </c>
      <c r="H224" s="803">
        <f t="shared" si="41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39"/>
        <v>767.49999999999977</v>
      </c>
      <c r="G225" s="802">
        <f t="shared" si="40"/>
        <v>3431</v>
      </c>
      <c r="H225" s="803">
        <f t="shared" si="41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77.2</v>
      </c>
      <c r="R4" s="475">
        <v>4.7999999999999996E-3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207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207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84.920000000000016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84.14800000000001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83.376000000000005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82.604000000000013</v>
      </c>
      <c r="Q46" s="81"/>
      <c r="T46" s="91" t="s">
        <v>100</v>
      </c>
      <c r="U46" s="86" t="s">
        <v>653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81.832000000000008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81.06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80.288000000000011</v>
      </c>
      <c r="Q49" s="81"/>
      <c r="T49" s="91" t="s">
        <v>121</v>
      </c>
      <c r="U49" s="86" t="s">
        <v>356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79.516000000000005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78.744</v>
      </c>
      <c r="Q51" s="81"/>
      <c r="T51" s="91" t="s">
        <v>104</v>
      </c>
      <c r="U51" s="86" t="s">
        <v>654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77.972000000000008</v>
      </c>
      <c r="Q52" s="81"/>
      <c r="T52" s="91" t="s">
        <v>105</v>
      </c>
      <c r="U52" s="86" t="s">
        <v>655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76.427999999999997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75.656000000000006</v>
      </c>
      <c r="Q55" s="81"/>
      <c r="T55" s="91" t="s">
        <v>107</v>
      </c>
      <c r="U55" s="86" t="s">
        <v>656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74.884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74.111999999999995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73.34</v>
      </c>
      <c r="Q58" s="81"/>
      <c r="T58" s="91" t="s">
        <v>108</v>
      </c>
      <c r="U58" s="86" t="s">
        <v>525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72.567999999999998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71.796000000000006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71.024000000000001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70.25200000000001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69.48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988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45.04</v>
      </c>
      <c r="R4" s="475">
        <v>3.0099999999999998E-2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6756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-1047.0099999999993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-1096.9599999999991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208</v>
      </c>
      <c r="Q9" s="222">
        <f>IF(Q2=0, 0, Q8/Q6)</f>
        <v>-0.13968745543081831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207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4.3516873889875664E-2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946</v>
      </c>
      <c r="Q12" s="1" t="s">
        <v>1125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973</v>
      </c>
      <c r="Q13">
        <f>Q4/3.08</f>
        <v>14.623376623376624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49.544000000000004</v>
      </c>
    </row>
    <row r="19" spans="1:16" x14ac:dyDescent="0.25">
      <c r="H19" s="70"/>
      <c r="O19" s="81">
        <v>1.0900000000000001</v>
      </c>
      <c r="P19" s="81">
        <f t="shared" ref="P19:P38" si="2">O19*$Q$4</f>
        <v>49.093600000000002</v>
      </c>
    </row>
    <row r="20" spans="1:16" x14ac:dyDescent="0.25">
      <c r="H20" s="70"/>
      <c r="O20" s="81">
        <v>1.08</v>
      </c>
      <c r="P20" s="81">
        <f t="shared" si="2"/>
        <v>48.6432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48.192800000000005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47.742400000000004</v>
      </c>
    </row>
    <row r="23" spans="1:16" x14ac:dyDescent="0.25">
      <c r="O23" s="81">
        <v>1.05</v>
      </c>
      <c r="P23" s="81">
        <f t="shared" si="2"/>
        <v>47.292000000000002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1.04</v>
      </c>
      <c r="P24" s="81">
        <f t="shared" si="2"/>
        <v>46.8416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46.391199999999998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45.940800000000003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45.490400000000001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45.04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44.589599999999997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44.139199999999995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43.688800000000001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43.238399999999999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42.787999999999997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42.337599999999995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41.8872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41.436799999999998</v>
      </c>
    </row>
    <row r="37" spans="1:17" x14ac:dyDescent="0.25">
      <c r="A37" t="s">
        <v>345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40.986400000000003</v>
      </c>
    </row>
    <row r="38" spans="1:17" x14ac:dyDescent="0.25">
      <c r="A38" t="s">
        <v>432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40.536000000000001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957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ref="F66" si="36">C66*(E66-D66)</f>
        <v>-1150.9500000000003</v>
      </c>
      <c r="G66" s="39">
        <f t="shared" ref="G66" si="37">D66*C66</f>
        <v>7852.95</v>
      </c>
      <c r="H66" s="222">
        <f t="shared" ref="H66" si="38">(E66-D66)/D66</f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207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39.47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39.47</v>
      </c>
      <c r="R4" s="475">
        <v>1.21E-2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207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43.417000000000002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43.022300000000001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42.627600000000001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42.232900000000001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41.838200000000001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41.4435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41.0488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40.6541</v>
      </c>
      <c r="Q49" s="2"/>
      <c r="T49" s="10" t="s">
        <v>103</v>
      </c>
      <c r="U49" s="10" t="s">
        <v>526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40.259399999999999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39.864699999999999</v>
      </c>
      <c r="Q51" s="2"/>
      <c r="T51" s="10" t="s">
        <v>104</v>
      </c>
      <c r="U51" s="10" t="s">
        <v>657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39.47</v>
      </c>
      <c r="Q52" s="2"/>
      <c r="T52" s="10" t="s">
        <v>105</v>
      </c>
      <c r="U52" s="10" t="s">
        <v>480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39.075299999999999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38.680599999999998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38.285899999999998</v>
      </c>
      <c r="T55" s="10" t="s">
        <v>107</v>
      </c>
      <c r="U55" s="10" t="s">
        <v>658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37.891199999999998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37.496499999999997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37.101799999999997</v>
      </c>
      <c r="T58" s="10" t="s">
        <v>108</v>
      </c>
      <c r="U58" s="10" t="s">
        <v>553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36.707100000000004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36.312400000000004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35.917700000000004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35.523000000000003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207.35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207.35</v>
      </c>
      <c r="R4" s="475">
        <v>6.6E-3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208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207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207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228.08500000000001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226.01150000000001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223.93800000000002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221.86450000000002</v>
      </c>
      <c r="Q49" s="2"/>
      <c r="T49" s="91" t="s">
        <v>103</v>
      </c>
      <c r="U49" s="416" t="s">
        <v>554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219.791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217.7175</v>
      </c>
      <c r="Q51" s="2"/>
      <c r="T51" s="91" t="s">
        <v>104</v>
      </c>
      <c r="U51" s="416" t="s">
        <v>659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215.64400000000001</v>
      </c>
      <c r="Q52" s="2"/>
      <c r="T52" s="91" t="s">
        <v>105</v>
      </c>
      <c r="U52" s="416" t="s">
        <v>527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213.57050000000001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211.49699999999999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209.42349999999999</v>
      </c>
      <c r="Q55" s="2"/>
      <c r="T55" s="91" t="s">
        <v>107</v>
      </c>
      <c r="U55" s="416" t="s">
        <v>660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207.35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205.2765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203.203</v>
      </c>
      <c r="Q58" s="2"/>
      <c r="T58" s="91" t="s">
        <v>108</v>
      </c>
      <c r="U58" s="416" t="s">
        <v>520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201.12949999999998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199.05599999999998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196.98249999999999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194.90899999999999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192.8355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190.762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188.6885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186.61500000000001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43.45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43.45</v>
      </c>
      <c r="R4" s="475">
        <v>7.0000000000000001E-3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207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47.795000000000009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47.360500000000009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46.926000000000009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46.491500000000009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46.057000000000002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45.622500000000002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45.188000000000002</v>
      </c>
      <c r="Q49" s="2"/>
      <c r="T49" s="91" t="s">
        <v>121</v>
      </c>
      <c r="U49" s="416" t="s">
        <v>371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44.753500000000003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44.319000000000003</v>
      </c>
      <c r="Q51" s="2"/>
      <c r="T51" s="91" t="s">
        <v>104</v>
      </c>
      <c r="U51" s="416" t="s">
        <v>661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43.884500000000003</v>
      </c>
      <c r="Q52" s="2"/>
      <c r="T52" s="91" t="s">
        <v>105</v>
      </c>
      <c r="U52" s="416" t="s">
        <v>446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43.015500000000003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42.581000000000003</v>
      </c>
      <c r="Q55" s="2"/>
      <c r="T55" s="91" t="s">
        <v>107</v>
      </c>
      <c r="U55" s="416" t="s">
        <v>662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42.146500000000003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41.712000000000003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41.277500000000003</v>
      </c>
      <c r="Q58" s="2"/>
      <c r="T58" s="91" t="s">
        <v>108</v>
      </c>
      <c r="U58" s="416" t="s">
        <v>555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40.843000000000004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40.408500000000004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39.974000000000004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39.539500000000004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39.105000000000004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124.95</v>
      </c>
      <c r="R4" s="475">
        <v>2.0000000000000001E-4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208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207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207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137.44500000000002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136.19550000000001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134.946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133.69650000000001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132.447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131.19750000000002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129.94800000000001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128.6985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127.449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126.1995</v>
      </c>
      <c r="T49" s="91" t="s">
        <v>121</v>
      </c>
      <c r="U49" s="86" t="s">
        <v>371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123.70050000000001</v>
      </c>
      <c r="T51" s="91" t="s">
        <v>104</v>
      </c>
      <c r="U51" s="86" t="s">
        <v>663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122.45100000000001</v>
      </c>
      <c r="T52" s="91" t="s">
        <v>105</v>
      </c>
      <c r="U52" s="86" t="s">
        <v>502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121.2015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119.952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118.7025</v>
      </c>
      <c r="T55" s="91" t="s">
        <v>107</v>
      </c>
      <c r="U55" s="86" t="s">
        <v>664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117.453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116.20350000000001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114.95400000000001</v>
      </c>
      <c r="T58" s="91" t="s">
        <v>108</v>
      </c>
      <c r="U58" s="86" t="s">
        <v>556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113.70450000000001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112.455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250.5</v>
      </c>
      <c r="R4" s="475">
        <v>1.43E-2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208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207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207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275.55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273.04500000000002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270.54000000000002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268.03500000000003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265.53000000000003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263.02500000000003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260.52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258.01499999999999</v>
      </c>
      <c r="Q49" s="81"/>
      <c r="T49" s="91" t="s">
        <v>103</v>
      </c>
      <c r="U49" s="86" t="s">
        <v>515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255.51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253.005</v>
      </c>
      <c r="Q51" s="81"/>
      <c r="T51" s="91" t="s">
        <v>104</v>
      </c>
      <c r="U51" s="86" t="s">
        <v>665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250.5</v>
      </c>
      <c r="Q52" s="81"/>
      <c r="T52" s="91" t="s">
        <v>105</v>
      </c>
      <c r="U52" s="86" t="s">
        <v>510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247.995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245.49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242.98499999999999</v>
      </c>
      <c r="Q55" s="81"/>
      <c r="T55" s="91" t="s">
        <v>107</v>
      </c>
      <c r="U55" s="86" t="s">
        <v>666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240.48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237.97499999999999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235.47</v>
      </c>
      <c r="Q58" s="81"/>
      <c r="T58" s="91" t="s">
        <v>108</v>
      </c>
      <c r="U58" s="86" t="s">
        <v>557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232.965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230.46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227.95500000000001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225.45000000000002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2018-07-06T20:34:05Z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